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onardo.avelino\Downloads\"/>
    </mc:Choice>
  </mc:AlternateContent>
  <xr:revisionPtr revIDLastSave="0" documentId="13_ncr:1_{7D20E75C-F13F-489B-8467-7DAEBE98B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a Resumo" sheetId="2" r:id="rId1"/>
    <sheet name="Mapa de Precificaçã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3" l="1"/>
  <c r="Q40" i="3"/>
  <c r="R39" i="3"/>
  <c r="R38" i="3"/>
  <c r="Q39" i="3"/>
  <c r="Q38" i="3"/>
  <c r="R55" i="3"/>
  <c r="Q55" i="3"/>
  <c r="R54" i="3"/>
  <c r="Q54" i="3"/>
  <c r="R53" i="3"/>
  <c r="Q53" i="3"/>
  <c r="R48" i="3"/>
  <c r="S48" i="3" s="1"/>
  <c r="Q48" i="3"/>
  <c r="R44" i="3"/>
  <c r="Q44" i="3"/>
  <c r="Q34" i="3"/>
  <c r="R34" i="3"/>
  <c r="Q33" i="3"/>
  <c r="R33" i="3"/>
  <c r="R18" i="3"/>
  <c r="Q18" i="3"/>
  <c r="Q60" i="3"/>
  <c r="R29" i="3"/>
  <c r="Q29" i="3"/>
  <c r="R25" i="3"/>
  <c r="Q25" i="3"/>
  <c r="Q24" i="3"/>
  <c r="R24" i="3"/>
  <c r="Q23" i="3"/>
  <c r="T23" i="3" s="1"/>
  <c r="R23" i="3"/>
  <c r="R22" i="3"/>
  <c r="Q22" i="3"/>
  <c r="R17" i="3"/>
  <c r="Q17" i="3"/>
  <c r="Q16" i="3"/>
  <c r="R16" i="3"/>
  <c r="R15" i="3"/>
  <c r="Q15" i="3"/>
  <c r="R14" i="3"/>
  <c r="Q14" i="3"/>
  <c r="R7" i="3"/>
  <c r="Q7" i="3"/>
  <c r="Q8" i="3"/>
  <c r="W40" i="3"/>
  <c r="I52" i="2"/>
  <c r="I53" i="2"/>
  <c r="I54" i="2"/>
  <c r="I55" i="2"/>
  <c r="I59" i="2"/>
  <c r="I60" i="2" s="1"/>
  <c r="I51" i="2"/>
  <c r="I47" i="2"/>
  <c r="I48" i="2" s="1"/>
  <c r="I43" i="2"/>
  <c r="I44" i="2" s="1"/>
  <c r="I38" i="2"/>
  <c r="I39" i="2"/>
  <c r="I37" i="2"/>
  <c r="I33" i="2"/>
  <c r="I32" i="2"/>
  <c r="I34" i="2" s="1"/>
  <c r="I28" i="2"/>
  <c r="I29" i="2" s="1"/>
  <c r="I22" i="2"/>
  <c r="I23" i="2"/>
  <c r="I24" i="2"/>
  <c r="I21" i="2"/>
  <c r="I14" i="2"/>
  <c r="I15" i="2"/>
  <c r="I16" i="2"/>
  <c r="I17" i="2"/>
  <c r="I13" i="2"/>
  <c r="I7" i="2"/>
  <c r="I8" i="2"/>
  <c r="I9" i="2"/>
  <c r="I6" i="2"/>
  <c r="W18" i="3"/>
  <c r="W60" i="3"/>
  <c r="W61" i="3" s="1"/>
  <c r="W53" i="3"/>
  <c r="W54" i="3"/>
  <c r="W55" i="3"/>
  <c r="W56" i="3"/>
  <c r="W52" i="3"/>
  <c r="W48" i="3"/>
  <c r="W49" i="3" s="1"/>
  <c r="W44" i="3"/>
  <c r="W45" i="3" s="1"/>
  <c r="W38" i="3"/>
  <c r="W39" i="3"/>
  <c r="W34" i="3"/>
  <c r="W33" i="3"/>
  <c r="W29" i="3"/>
  <c r="W30" i="3" s="1"/>
  <c r="W23" i="3"/>
  <c r="W24" i="3"/>
  <c r="W25" i="3"/>
  <c r="W22" i="3"/>
  <c r="W15" i="3"/>
  <c r="W16" i="3"/>
  <c r="W17" i="3"/>
  <c r="W14" i="3"/>
  <c r="W8" i="3"/>
  <c r="W9" i="3"/>
  <c r="W10" i="3"/>
  <c r="W7" i="3"/>
  <c r="R8" i="3"/>
  <c r="G60" i="3"/>
  <c r="G61" i="3" s="1"/>
  <c r="G56" i="3"/>
  <c r="G55" i="3"/>
  <c r="G54" i="3"/>
  <c r="G53" i="3"/>
  <c r="G52" i="3"/>
  <c r="G48" i="3"/>
  <c r="G49" i="3" s="1"/>
  <c r="G44" i="3"/>
  <c r="G45" i="3" s="1"/>
  <c r="G40" i="3"/>
  <c r="G39" i="3"/>
  <c r="G38" i="3"/>
  <c r="G34" i="3"/>
  <c r="G33" i="3"/>
  <c r="G29" i="3"/>
  <c r="G30" i="3" s="1"/>
  <c r="G25" i="3"/>
  <c r="G24" i="3"/>
  <c r="G23" i="3"/>
  <c r="G22" i="3"/>
  <c r="G18" i="3"/>
  <c r="G17" i="3"/>
  <c r="G16" i="3"/>
  <c r="G15" i="3"/>
  <c r="G14" i="3"/>
  <c r="G10" i="3"/>
  <c r="G9" i="3"/>
  <c r="G8" i="3"/>
  <c r="G7" i="3"/>
  <c r="G10" i="2"/>
  <c r="G18" i="2"/>
  <c r="G25" i="2"/>
  <c r="G62" i="2" s="1"/>
  <c r="G29" i="2"/>
  <c r="G34" i="2"/>
  <c r="G40" i="2"/>
  <c r="G44" i="2"/>
  <c r="G48" i="2"/>
  <c r="G56" i="2"/>
  <c r="G60" i="2"/>
  <c r="G59" i="2"/>
  <c r="G52" i="2"/>
  <c r="G53" i="2"/>
  <c r="G54" i="2"/>
  <c r="G55" i="2"/>
  <c r="G51" i="2"/>
  <c r="G47" i="2"/>
  <c r="G43" i="2"/>
  <c r="G38" i="2"/>
  <c r="G39" i="2"/>
  <c r="G37" i="2"/>
  <c r="G33" i="2"/>
  <c r="G32" i="2"/>
  <c r="G28" i="2"/>
  <c r="G22" i="2"/>
  <c r="G23" i="2"/>
  <c r="G24" i="2"/>
  <c r="G21" i="2"/>
  <c r="G14" i="2"/>
  <c r="G15" i="2"/>
  <c r="G16" i="2"/>
  <c r="G17" i="2"/>
  <c r="G13" i="2"/>
  <c r="G7" i="2"/>
  <c r="G8" i="2"/>
  <c r="G9" i="2"/>
  <c r="G6" i="2"/>
  <c r="S39" i="3" l="1"/>
  <c r="U23" i="3"/>
  <c r="S25" i="3"/>
  <c r="U14" i="3"/>
  <c r="S23" i="3"/>
  <c r="U16" i="3"/>
  <c r="U33" i="3"/>
  <c r="U38" i="3"/>
  <c r="U39" i="3"/>
  <c r="S34" i="3"/>
  <c r="U24" i="3"/>
  <c r="T16" i="3"/>
  <c r="U25" i="3"/>
  <c r="U29" i="3"/>
  <c r="U48" i="3"/>
  <c r="S38" i="3"/>
  <c r="T38" i="3"/>
  <c r="U34" i="3"/>
  <c r="I25" i="2"/>
  <c r="W35" i="3"/>
  <c r="T54" i="3"/>
  <c r="U54" i="3"/>
  <c r="S54" i="3"/>
  <c r="T53" i="3"/>
  <c r="U44" i="3"/>
  <c r="S44" i="3"/>
  <c r="U40" i="3"/>
  <c r="S40" i="3"/>
  <c r="S33" i="3"/>
  <c r="S29" i="3"/>
  <c r="S24" i="3"/>
  <c r="T22" i="3"/>
  <c r="U18" i="3"/>
  <c r="S17" i="3"/>
  <c r="U17" i="3"/>
  <c r="S16" i="3"/>
  <c r="T15" i="3"/>
  <c r="T14" i="3"/>
  <c r="U55" i="3"/>
  <c r="S55" i="3"/>
  <c r="U53" i="3"/>
  <c r="T55" i="3"/>
  <c r="S53" i="3"/>
  <c r="T48" i="3"/>
  <c r="T44" i="3"/>
  <c r="T39" i="3"/>
  <c r="T40" i="3"/>
  <c r="T33" i="3"/>
  <c r="T34" i="3"/>
  <c r="T29" i="3"/>
  <c r="T24" i="3"/>
  <c r="S22" i="3"/>
  <c r="T25" i="3"/>
  <c r="U22" i="3"/>
  <c r="S18" i="3"/>
  <c r="U15" i="3"/>
  <c r="S14" i="3"/>
  <c r="T17" i="3"/>
  <c r="S15" i="3"/>
  <c r="T18" i="3"/>
  <c r="I56" i="2"/>
  <c r="W26" i="3"/>
  <c r="I40" i="2"/>
  <c r="W57" i="3"/>
  <c r="I18" i="2"/>
  <c r="I10" i="2"/>
  <c r="G35" i="3"/>
  <c r="W11" i="3"/>
  <c r="W19" i="3"/>
  <c r="W41" i="3"/>
  <c r="G19" i="3"/>
  <c r="U8" i="3"/>
  <c r="S8" i="3"/>
  <c r="T8" i="3"/>
  <c r="U7" i="3"/>
  <c r="S7" i="3"/>
  <c r="T7" i="3"/>
  <c r="G11" i="3"/>
  <c r="G41" i="3"/>
  <c r="G57" i="3"/>
  <c r="G26" i="3"/>
  <c r="I62" i="2" l="1"/>
  <c r="W63" i="3"/>
  <c r="G63" i="3"/>
</calcChain>
</file>

<file path=xl/sharedStrings.xml><?xml version="1.0" encoding="utf-8"?>
<sst xmlns="http://schemas.openxmlformats.org/spreadsheetml/2006/main" count="301" uniqueCount="149">
  <si>
    <t>Item</t>
  </si>
  <si>
    <t>Descrição</t>
  </si>
  <si>
    <t>Unidade de Medida</t>
  </si>
  <si>
    <t>Quantidade Total</t>
  </si>
  <si>
    <t>Método Matemático:
Média</t>
  </si>
  <si>
    <t>Valor Unitário</t>
  </si>
  <si>
    <t>Valor Total</t>
  </si>
  <si>
    <t>Cesta de Preços</t>
  </si>
  <si>
    <t>Avaliação de propostas inexequiveis e excessivamente elevados</t>
  </si>
  <si>
    <t>Método Matemático:
Media</t>
  </si>
  <si>
    <t>Banco de Preço</t>
  </si>
  <si>
    <t>Preço 01</t>
  </si>
  <si>
    <t>Preço 02</t>
  </si>
  <si>
    <t>Preço 03</t>
  </si>
  <si>
    <t>Preço 04</t>
  </si>
  <si>
    <t>Preço 05</t>
  </si>
  <si>
    <t>Preço 06</t>
  </si>
  <si>
    <t>Média</t>
  </si>
  <si>
    <t>Desvio Padrão</t>
  </si>
  <si>
    <t>Coeficiente de Variação</t>
  </si>
  <si>
    <t>Limite Superior
(Média + Desvio Padrão)</t>
  </si>
  <si>
    <t>Limite Inferior
(Média - Desvio Padrão)</t>
  </si>
  <si>
    <t>Processo N° 00002.001765/2025-11</t>
  </si>
  <si>
    <t>ARP N° 002/2023</t>
  </si>
  <si>
    <t>Modelo / Marca</t>
  </si>
  <si>
    <t>Veículo Tipo Ambulância de Transporte (Tipo D, Sem Motorista, Sem Combustível, Km Livre).</t>
  </si>
  <si>
    <t>Veículo Tipo Ambulância de Suporte Básico (Tipo B, Sem Motorista, Sem Combustível, Km Livre)</t>
  </si>
  <si>
    <t>Renault / Master</t>
  </si>
  <si>
    <t>Renault / Master L2H2: Furgão</t>
  </si>
  <si>
    <t>Mensal / Unidade</t>
  </si>
  <si>
    <t>Mensal</t>
  </si>
  <si>
    <t>Veículo tipo JETSKI Motorização até 170 hp</t>
  </si>
  <si>
    <t>Veículo tipo lancha de até 7 lugares</t>
  </si>
  <si>
    <t>FIBRAFORT/FOCKER 210</t>
  </si>
  <si>
    <t>Veículo Tipo Ambulância de Transporte (Tipo A, Sem Motorista, Sem Combustível, Km Livre).</t>
  </si>
  <si>
    <t>RENAULT / MASTER 2.3 DCI GRAND PRO 16V DIESEL</t>
  </si>
  <si>
    <t>Veículo Tipo Van (Sem motorista, Sem combustível).</t>
  </si>
  <si>
    <t>Veículo Tipo Picape Média (Diesel, 4x4, Cabine Dupla, Sem Motorista, Sem Combustível, Km Livre, 4 Portas).</t>
  </si>
  <si>
    <t>Veículo Tipo Sedan (Sem Motorista, Sem Combustível, Km Livre)</t>
  </si>
  <si>
    <t>Veículo Tipo Picape Média (Diesel, Cabine dupla, Sem motorista, Sem Combustível, Km Livre, 4 portas, com CELA (compartimento para detidos).</t>
  </si>
  <si>
    <t xml:space="preserve">IVECO DUCATO MINIBUS 2.2 COMF - 19L DIESEL (E6) </t>
  </si>
  <si>
    <t>MITSUBISHI L200 TRITON GLS 2.4 DIESEL AT</t>
  </si>
  <si>
    <t>HYUNDAI HB20S COMFORT 1.0 TB FLEX 12V AUT</t>
  </si>
  <si>
    <t>FIAT TORO VOLCANO 2.0 16V 4X4 TB DIESEL AUT</t>
  </si>
  <si>
    <t>Veículo Tipo Van (Com Motorista, Com combustível)</t>
  </si>
  <si>
    <t>Veículo Tipo Micro ônibus (Com Motorista, Com combustivel)</t>
  </si>
  <si>
    <t>Veículo Tipo Caminhão Baú (Com Motorista, Com combustível)</t>
  </si>
  <si>
    <t>Veículo Tipo Ônibus (Com Motorista, Com combustivel)</t>
  </si>
  <si>
    <t>Por Km</t>
  </si>
  <si>
    <t>Renault / Master ou Similar</t>
  </si>
  <si>
    <t>Volare W9 Fly ou Similar</t>
  </si>
  <si>
    <t>MB ATEGO 2426 ou Similar</t>
  </si>
  <si>
    <t>Comil / VW</t>
  </si>
  <si>
    <t>Veículo Tipo Ônibus (Com Motorista, Com combustível)</t>
  </si>
  <si>
    <t>M. Benz / Marcopolo 
ANO / FAB: 2020/2020</t>
  </si>
  <si>
    <t>Veículo Tipo Caminhão Guincho leve (Com Motorista, Com combustível)</t>
  </si>
  <si>
    <r>
      <t xml:space="preserve">Veículo Tipo Picape Média (Diesel, 4x4, Cabine Dupla, Sem Motorista, Sem Combustível, Km Livre, 4 Portas).
</t>
    </r>
    <r>
      <rPr>
        <b/>
        <sz val="11"/>
        <color theme="1"/>
        <rFont val="Calibri"/>
        <family val="2"/>
        <scheme val="minor"/>
      </rPr>
      <t>Item exclusivo para ME, MEI e EPP.</t>
    </r>
  </si>
  <si>
    <t>VOLKSWAGEN / 8150 DELIVERY</t>
  </si>
  <si>
    <t xml:space="preserve">CHEVROLET S10 </t>
  </si>
  <si>
    <t>Diária</t>
  </si>
  <si>
    <t>Veículo Tipo Picape Média (Flex, 4x2, Cabine Dupla, Sem Motorista, Sem Combustível, Km Livre, 4 Portas).</t>
  </si>
  <si>
    <t>Renault Oroch ou Similar</t>
  </si>
  <si>
    <t>Chevrolet Traiblazer ou Similar</t>
  </si>
  <si>
    <t>Veículo Tipo SUV (7 lugares, Sem Motorista, Sem Combustível, Km Livre)</t>
  </si>
  <si>
    <t>Veículo Tipo Hatch (Sem Motorista, Sem Combustível, Km Livre, 4 Portas)</t>
  </si>
  <si>
    <t>VW / Polo ou Similar</t>
  </si>
  <si>
    <t>Veículo Tipo Sedan Executivo (Sem Motorista, Sem Combustível, Km Livre).</t>
  </si>
  <si>
    <t>Toyota - Corolla</t>
  </si>
  <si>
    <t>Honda Fan</t>
  </si>
  <si>
    <t>Veículo Tipo Van (Sem Motorista, Sem combustível)</t>
  </si>
  <si>
    <t>Veículo Tipo Caminhão Munk (Com Motorista, Com combustível)</t>
  </si>
  <si>
    <r>
      <t xml:space="preserve">Veículo Tipo Sedan Executivo (Sem Motorista, Sem Combustível, Km Livre).
</t>
    </r>
    <r>
      <rPr>
        <b/>
        <sz val="11"/>
        <color theme="1"/>
        <rFont val="Calibri"/>
        <family val="2"/>
        <scheme val="minor"/>
      </rPr>
      <t>Item exclusivo para ME, MEI e EPP</t>
    </r>
  </si>
  <si>
    <t>Veículo Tipo SUV (7 lugares, Sem Motorista, Sem Combustível, Km Livre).</t>
  </si>
  <si>
    <t xml:space="preserve">Veículo Quadriciclo de até 500 cilindradas. </t>
  </si>
  <si>
    <t>Hora</t>
  </si>
  <si>
    <t>Volkswagen 17190</t>
  </si>
  <si>
    <t>Chevrolet Traiblazer</t>
  </si>
  <si>
    <t>Honda Fourtrax</t>
  </si>
  <si>
    <t>MB Sprinter</t>
  </si>
  <si>
    <t>Grupo 01
Lotes 1, 2, 23 e 24</t>
  </si>
  <si>
    <t>Valor Total ARP Grupo 01</t>
  </si>
  <si>
    <t>Valor Total Grupo 01</t>
  </si>
  <si>
    <t>Valor Global ARP</t>
  </si>
  <si>
    <t>Valor Global</t>
  </si>
  <si>
    <t>Grupo 02
Lotes 3, 4, 13, 17 e 25</t>
  </si>
  <si>
    <t>Valor Total ARP Grupo 02</t>
  </si>
  <si>
    <t>Valor Total Grupo 02</t>
  </si>
  <si>
    <t>Grupo 03
Lotes 6, 7, 9 e 27</t>
  </si>
  <si>
    <t>Valor Total ARP Grupo 03</t>
  </si>
  <si>
    <t>Valor Total Grupo 03</t>
  </si>
  <si>
    <t>Grupo 04
Lote 8</t>
  </si>
  <si>
    <t>Valor Total ARP Grupo 04</t>
  </si>
  <si>
    <t>Valor Total Grupo 04</t>
  </si>
  <si>
    <t>Grupo 05
Lotes 10 e 14</t>
  </si>
  <si>
    <t>Valor Total ARP Grupo 05</t>
  </si>
  <si>
    <t>Valor Total Grupo 05</t>
  </si>
  <si>
    <t>Grupo 06
Lotes 12, 18 e 20</t>
  </si>
  <si>
    <t>Valor Total ARP Grupo 06</t>
  </si>
  <si>
    <t>Valor Total Grupo 06</t>
  </si>
  <si>
    <t>Valor Total ARP Grupo 07</t>
  </si>
  <si>
    <t>Valor Total Grupo 07</t>
  </si>
  <si>
    <t>Grupo 07
Lote 15</t>
  </si>
  <si>
    <t>Grupo 08
Lote 21</t>
  </si>
  <si>
    <t>Valor Total ARP Grupo 08</t>
  </si>
  <si>
    <t>Valor Total Grupo 08</t>
  </si>
  <si>
    <t>Grupo 09
Lote 5, 11, 16, 19 e 22</t>
  </si>
  <si>
    <t>Valor Total ARP Grupo 09</t>
  </si>
  <si>
    <t>Valor Total Grupo 09</t>
  </si>
  <si>
    <t>Grupo 10
Lote 26</t>
  </si>
  <si>
    <t>Valor Total ARP Grupo 10</t>
  </si>
  <si>
    <t>Valor Total Grupo 10</t>
  </si>
  <si>
    <t>Veículo Tipo Ambulância de Transporte.</t>
  </si>
  <si>
    <t>Veículo Tipo Ambulância de Suporte Básico.</t>
  </si>
  <si>
    <t>Veículo tipo JETSKI Motorização até 170 hp.</t>
  </si>
  <si>
    <t>Veículo tipo lancha de até 7 lugares.</t>
  </si>
  <si>
    <t>Veículo Tipo Van.</t>
  </si>
  <si>
    <t>Veículo Tipo Picape Média.</t>
  </si>
  <si>
    <t>Veículo Tipo Sedan.</t>
  </si>
  <si>
    <t>Veículo Tipo Micro ônibus.</t>
  </si>
  <si>
    <t>Veículo Tipo Caminhão Baú.</t>
  </si>
  <si>
    <t>Veículo Tipo Ônibus.</t>
  </si>
  <si>
    <t>Veículo Tipo Caminhão Guincho leve.</t>
  </si>
  <si>
    <r>
      <t xml:space="preserve">Veículo Tipo Picape Média.
</t>
    </r>
    <r>
      <rPr>
        <b/>
        <sz val="11"/>
        <color theme="1"/>
        <rFont val="Calibri"/>
        <family val="2"/>
        <scheme val="minor"/>
      </rPr>
      <t>Item exclusivo para ME, MEI e EPP.</t>
    </r>
  </si>
  <si>
    <t>Veículo Tipo SUV.</t>
  </si>
  <si>
    <t>Veículo Tipo Hatch.</t>
  </si>
  <si>
    <t>Veículo Tipo Sedan Executivo.</t>
  </si>
  <si>
    <t>Veículo Tipo MOTO de 160 a 300 cilindradas.</t>
  </si>
  <si>
    <t>Veículo Tipo Caminhão Munk.</t>
  </si>
  <si>
    <r>
      <t xml:space="preserve">Veículo Tipo Sedan Executivo.
</t>
    </r>
    <r>
      <rPr>
        <b/>
        <sz val="11"/>
        <color theme="1"/>
        <rFont val="Calibri"/>
        <family val="2"/>
        <scheme val="minor"/>
      </rPr>
      <t>Item exclusivo para ME, MEI e EPP</t>
    </r>
  </si>
  <si>
    <t>Preço 07</t>
  </si>
  <si>
    <t>Prorrogação ARP N° 002/2023 - Locação de Veículos</t>
  </si>
  <si>
    <t>P.E. N° PERP 01/2024 - SEPLAG/RJ</t>
  </si>
  <si>
    <t>Preço 09</t>
  </si>
  <si>
    <t>Veículo Tipo moto de 160 a 300 cilindradas</t>
  </si>
  <si>
    <t>ARP N° 211/2024/SUPEL-RO</t>
  </si>
  <si>
    <t>SEA DOO/GTI 170 SE</t>
  </si>
  <si>
    <t>Grupo 01 - LP TOTAL SERVICE LTDA</t>
  </si>
  <si>
    <t>Grupo 02 - CS BRASIL FROTAS S.A</t>
  </si>
  <si>
    <t>Grupo 03 - T Y JERÔNIMO E SILVA LTDA</t>
  </si>
  <si>
    <t>Grupo 04 - IVETE DE OLIVEIRA RIBEIRO ALVES LTDA</t>
  </si>
  <si>
    <t>Grupo 05 - ASM CONSTRUÇÕES E LOCAÇÕES LTDA</t>
  </si>
  <si>
    <t>Grupo 06 - RL EMPREENDIMENTOS E SERVIÇOS LTDA</t>
  </si>
  <si>
    <t>Grupo 07 - MAZZ VEÍCULOS</t>
  </si>
  <si>
    <t>Grupo 08 - SENTRA DISTRIBUIDORA E SERVIÇOS</t>
  </si>
  <si>
    <t>Grupo 09 - BRF CONSTRUÇÕES</t>
  </si>
  <si>
    <t>Grupo 10 - NILTON TURISMO LTDA</t>
  </si>
  <si>
    <t>ARP Nº 003/2024 - SEGOV</t>
  </si>
  <si>
    <t>-</t>
  </si>
  <si>
    <t>Preço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</si>
</sst>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4" fontId="2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4" fontId="0" fillId="5" borderId="1" xfId="0" applyNumberFormat="1" applyFill="1" applyBorder="1" applyAlignment="1">
      <alignment vertical="center" wrapText="1"/>
    </xf>
    <xf numFmtId="44" fontId="0" fillId="5" borderId="1" xfId="0" applyNumberForma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6" borderId="1" xfId="0" applyNumberForma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44" fontId="2" fillId="4" borderId="5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2" fillId="4" borderId="7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771524</xdr:colOff>
      <xdr:row>0</xdr:row>
      <xdr:rowOff>571500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20E2EF-FC83-4B98-BD58-1C5BA110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3811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161925</xdr:colOff>
      <xdr:row>0</xdr:row>
      <xdr:rowOff>0</xdr:rowOff>
    </xdr:from>
    <xdr:to>
      <xdr:col>8</xdr:col>
      <xdr:colOff>676274</xdr:colOff>
      <xdr:row>0</xdr:row>
      <xdr:rowOff>571500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0AF93C8-CF37-4FF4-A98C-63652140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15200" y="0"/>
          <a:ext cx="13811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1038224</xdr:colOff>
      <xdr:row>0</xdr:row>
      <xdr:rowOff>600075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804CC1-29A3-4FC5-A938-D133FA6EA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1381124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638175</xdr:colOff>
      <xdr:row>0</xdr:row>
      <xdr:rowOff>9525</xdr:rowOff>
    </xdr:from>
    <xdr:to>
      <xdr:col>21</xdr:col>
      <xdr:colOff>768804</xdr:colOff>
      <xdr:row>0</xdr:row>
      <xdr:rowOff>581025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AD8B41-11B6-46B5-AE7F-C7248DDC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68000" y="9525"/>
          <a:ext cx="13811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EF17-928B-4C9C-BC06-E33A7EDDA699}">
  <dimension ref="A1:I62"/>
  <sheetViews>
    <sheetView tabSelected="1" workbookViewId="0">
      <selection activeCell="L37" sqref="L37"/>
    </sheetView>
  </sheetViews>
  <sheetFormatPr defaultRowHeight="15" x14ac:dyDescent="0.25"/>
  <cols>
    <col min="2" max="2" width="34.5703125" customWidth="1"/>
    <col min="3" max="3" width="13.140625" customWidth="1"/>
    <col min="4" max="4" width="10.42578125" customWidth="1"/>
    <col min="5" max="5" width="11.85546875" customWidth="1"/>
    <col min="6" max="6" width="12.5703125" bestFit="1" customWidth="1"/>
    <col min="7" max="7" width="19.5703125" bestFit="1" customWidth="1"/>
    <col min="8" max="8" width="13" customWidth="1"/>
    <col min="9" max="9" width="16.85546875" bestFit="1" customWidth="1"/>
  </cols>
  <sheetData>
    <row r="1" spans="1:9" ht="47.25" customHeight="1" x14ac:dyDescent="0.25">
      <c r="A1" s="32" t="s">
        <v>22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3" t="s">
        <v>130</v>
      </c>
      <c r="B2" s="33"/>
      <c r="C2" s="33"/>
      <c r="D2" s="33"/>
      <c r="E2" s="33"/>
      <c r="F2" s="33"/>
      <c r="G2" s="33"/>
      <c r="H2" s="33"/>
      <c r="I2" s="33"/>
    </row>
    <row r="3" spans="1:9" ht="32.25" customHeight="1" x14ac:dyDescent="0.25">
      <c r="A3" s="34" t="s">
        <v>0</v>
      </c>
      <c r="B3" s="34" t="s">
        <v>1</v>
      </c>
      <c r="C3" s="30" t="s">
        <v>24</v>
      </c>
      <c r="D3" s="34" t="s">
        <v>2</v>
      </c>
      <c r="E3" s="35" t="s">
        <v>3</v>
      </c>
      <c r="F3" s="36" t="s">
        <v>23</v>
      </c>
      <c r="G3" s="36"/>
      <c r="H3" s="37" t="s">
        <v>4</v>
      </c>
      <c r="I3" s="37"/>
    </row>
    <row r="4" spans="1:9" ht="30" x14ac:dyDescent="0.25">
      <c r="A4" s="34"/>
      <c r="B4" s="34"/>
      <c r="C4" s="31"/>
      <c r="D4" s="34"/>
      <c r="E4" s="35"/>
      <c r="F4" s="10" t="s">
        <v>5</v>
      </c>
      <c r="G4" s="10" t="s">
        <v>6</v>
      </c>
      <c r="H4" s="9" t="s">
        <v>5</v>
      </c>
      <c r="I4" s="9" t="s">
        <v>6</v>
      </c>
    </row>
    <row r="5" spans="1:9" x14ac:dyDescent="0.25">
      <c r="A5" s="29" t="s">
        <v>79</v>
      </c>
      <c r="B5" s="29"/>
      <c r="C5" s="29"/>
      <c r="D5" s="29"/>
      <c r="E5" s="29"/>
      <c r="F5" s="29"/>
      <c r="G5" s="29"/>
      <c r="H5" s="29"/>
      <c r="I5" s="29"/>
    </row>
    <row r="6" spans="1:9" ht="30" x14ac:dyDescent="0.25">
      <c r="A6" s="2">
        <v>1</v>
      </c>
      <c r="B6" s="6" t="s">
        <v>111</v>
      </c>
      <c r="C6" s="2" t="s">
        <v>27</v>
      </c>
      <c r="D6" s="2" t="s">
        <v>29</v>
      </c>
      <c r="E6" s="2">
        <v>21</v>
      </c>
      <c r="F6" s="5">
        <v>27773.8</v>
      </c>
      <c r="G6" s="5">
        <f>PRODUCT(E6,F6)</f>
        <v>583249.79999999993</v>
      </c>
      <c r="H6" s="14">
        <v>33133.33</v>
      </c>
      <c r="I6" s="3">
        <f>PRODUCT(H6,E6)</f>
        <v>695799.93</v>
      </c>
    </row>
    <row r="7" spans="1:9" ht="45" x14ac:dyDescent="0.25">
      <c r="A7" s="2">
        <v>2</v>
      </c>
      <c r="B7" s="6" t="s">
        <v>112</v>
      </c>
      <c r="C7" s="2" t="s">
        <v>28</v>
      </c>
      <c r="D7" s="2" t="s">
        <v>29</v>
      </c>
      <c r="E7" s="2">
        <v>32</v>
      </c>
      <c r="F7" s="5">
        <v>18000</v>
      </c>
      <c r="G7" s="5">
        <f t="shared" ref="G7:G9" si="0">PRODUCT(E7,F7)</f>
        <v>576000</v>
      </c>
      <c r="H7" s="14">
        <v>20236</v>
      </c>
      <c r="I7" s="3">
        <f t="shared" ref="I7:I9" si="1">PRODUCT(H7,E7)</f>
        <v>647552</v>
      </c>
    </row>
    <row r="8" spans="1:9" ht="30" x14ac:dyDescent="0.25">
      <c r="A8" s="2">
        <v>23</v>
      </c>
      <c r="B8" s="6" t="s">
        <v>113</v>
      </c>
      <c r="C8" s="26" t="s">
        <v>135</v>
      </c>
      <c r="D8" s="2" t="s">
        <v>29</v>
      </c>
      <c r="E8" s="2">
        <v>4</v>
      </c>
      <c r="F8" s="5">
        <v>7500</v>
      </c>
      <c r="G8" s="5">
        <f t="shared" si="0"/>
        <v>30000</v>
      </c>
      <c r="H8" s="14" t="s">
        <v>147</v>
      </c>
      <c r="I8" s="3">
        <f t="shared" si="1"/>
        <v>4</v>
      </c>
    </row>
    <row r="9" spans="1:9" ht="30" x14ac:dyDescent="0.25">
      <c r="A9" s="2">
        <v>24</v>
      </c>
      <c r="B9" s="6" t="s">
        <v>114</v>
      </c>
      <c r="C9" s="2" t="s">
        <v>33</v>
      </c>
      <c r="D9" s="2" t="s">
        <v>30</v>
      </c>
      <c r="E9" s="2">
        <v>4</v>
      </c>
      <c r="F9" s="5">
        <v>84000</v>
      </c>
      <c r="G9" s="5">
        <f t="shared" si="0"/>
        <v>336000</v>
      </c>
      <c r="H9" s="14" t="s">
        <v>147</v>
      </c>
      <c r="I9" s="3">
        <f t="shared" si="1"/>
        <v>4</v>
      </c>
    </row>
    <row r="10" spans="1:9" ht="30" x14ac:dyDescent="0.25">
      <c r="A10" s="38" t="s">
        <v>80</v>
      </c>
      <c r="B10" s="39"/>
      <c r="C10" s="39"/>
      <c r="D10" s="39"/>
      <c r="E10" s="39"/>
      <c r="F10" s="40"/>
      <c r="G10" s="12">
        <f>SUM(G6:G9)</f>
        <v>1525249.7999999998</v>
      </c>
      <c r="H10" s="8" t="s">
        <v>81</v>
      </c>
      <c r="I10" s="3">
        <f>SUM(I6:I9)</f>
        <v>1343359.9300000002</v>
      </c>
    </row>
    <row r="12" spans="1:9" x14ac:dyDescent="0.25">
      <c r="A12" s="29" t="s">
        <v>84</v>
      </c>
      <c r="B12" s="29"/>
      <c r="C12" s="29"/>
      <c r="D12" s="29"/>
      <c r="E12" s="29"/>
      <c r="F12" s="29"/>
      <c r="G12" s="29"/>
      <c r="H12" s="29"/>
      <c r="I12" s="29"/>
    </row>
    <row r="13" spans="1:9" ht="75" x14ac:dyDescent="0.25">
      <c r="A13" s="2">
        <v>3</v>
      </c>
      <c r="B13" s="6" t="s">
        <v>111</v>
      </c>
      <c r="C13" s="4" t="s">
        <v>35</v>
      </c>
      <c r="D13" s="2" t="s">
        <v>30</v>
      </c>
      <c r="E13" s="2">
        <v>12</v>
      </c>
      <c r="F13" s="5">
        <v>18489.28</v>
      </c>
      <c r="G13" s="5">
        <f t="shared" ref="G13:G17" si="2">PRODUCT(E13,F13)</f>
        <v>221871.35999999999</v>
      </c>
      <c r="H13" s="27">
        <v>13878.66</v>
      </c>
      <c r="I13" s="3">
        <f>PRODUCT(H13,E13)</f>
        <v>166543.91999999998</v>
      </c>
    </row>
    <row r="14" spans="1:9" ht="75" x14ac:dyDescent="0.25">
      <c r="A14" s="2">
        <v>4</v>
      </c>
      <c r="B14" s="7" t="s">
        <v>115</v>
      </c>
      <c r="C14" s="2" t="s">
        <v>40</v>
      </c>
      <c r="D14" s="2" t="s">
        <v>30</v>
      </c>
      <c r="E14" s="2">
        <v>24</v>
      </c>
      <c r="F14" s="5">
        <v>11020.14</v>
      </c>
      <c r="G14" s="5">
        <f t="shared" si="2"/>
        <v>264483.36</v>
      </c>
      <c r="H14" s="14">
        <v>12042.26</v>
      </c>
      <c r="I14" s="3">
        <f t="shared" ref="I14:I17" si="3">PRODUCT(H14,E14)</f>
        <v>289014.24</v>
      </c>
    </row>
    <row r="15" spans="1:9" ht="60" x14ac:dyDescent="0.25">
      <c r="A15" s="2">
        <v>13</v>
      </c>
      <c r="B15" s="6" t="s">
        <v>116</v>
      </c>
      <c r="C15" s="2" t="s">
        <v>41</v>
      </c>
      <c r="D15" s="2" t="s">
        <v>30</v>
      </c>
      <c r="E15" s="2">
        <v>591</v>
      </c>
      <c r="F15" s="5">
        <v>7102.03</v>
      </c>
      <c r="G15" s="5">
        <f t="shared" si="2"/>
        <v>4197299.7299999995</v>
      </c>
      <c r="H15" s="14">
        <v>7288.94</v>
      </c>
      <c r="I15" s="3">
        <f t="shared" si="3"/>
        <v>4307763.54</v>
      </c>
    </row>
    <row r="16" spans="1:9" ht="75" x14ac:dyDescent="0.25">
      <c r="A16" s="2">
        <v>17</v>
      </c>
      <c r="B16" s="6" t="s">
        <v>117</v>
      </c>
      <c r="C16" s="2" t="s">
        <v>42</v>
      </c>
      <c r="D16" s="2" t="s">
        <v>30</v>
      </c>
      <c r="E16" s="2">
        <v>344</v>
      </c>
      <c r="F16" s="5">
        <v>2972.75</v>
      </c>
      <c r="G16" s="5">
        <f t="shared" si="2"/>
        <v>1022626</v>
      </c>
      <c r="H16" s="27">
        <v>2846.61</v>
      </c>
      <c r="I16" s="3">
        <f t="shared" si="3"/>
        <v>979233.84000000008</v>
      </c>
    </row>
    <row r="17" spans="1:9" ht="60" x14ac:dyDescent="0.25">
      <c r="A17" s="2">
        <v>25</v>
      </c>
      <c r="B17" s="6" t="s">
        <v>116</v>
      </c>
      <c r="C17" s="2" t="s">
        <v>43</v>
      </c>
      <c r="D17" s="2" t="s">
        <v>30</v>
      </c>
      <c r="E17" s="2">
        <v>71</v>
      </c>
      <c r="F17" s="5">
        <v>5943.07</v>
      </c>
      <c r="G17" s="5">
        <f t="shared" si="2"/>
        <v>421957.97</v>
      </c>
      <c r="H17" s="14">
        <v>14015</v>
      </c>
      <c r="I17" s="3">
        <f t="shared" si="3"/>
        <v>995065</v>
      </c>
    </row>
    <row r="18" spans="1:9" ht="30" x14ac:dyDescent="0.25">
      <c r="A18" s="38" t="s">
        <v>85</v>
      </c>
      <c r="B18" s="39"/>
      <c r="C18" s="39"/>
      <c r="D18" s="39"/>
      <c r="E18" s="39"/>
      <c r="F18" s="40"/>
      <c r="G18" s="12">
        <f>SUM(G13:G17)</f>
        <v>6128238.419999999</v>
      </c>
      <c r="H18" s="8" t="s">
        <v>86</v>
      </c>
      <c r="I18" s="3">
        <f>SUM(I13:I17)</f>
        <v>6737620.54</v>
      </c>
    </row>
    <row r="20" spans="1:9" x14ac:dyDescent="0.25">
      <c r="A20" s="29" t="s">
        <v>87</v>
      </c>
      <c r="B20" s="29"/>
      <c r="C20" s="29"/>
      <c r="D20" s="29"/>
      <c r="E20" s="29"/>
      <c r="F20" s="29"/>
      <c r="G20" s="29"/>
      <c r="H20" s="29"/>
      <c r="I20" s="29"/>
    </row>
    <row r="21" spans="1:9" ht="45" x14ac:dyDescent="0.25">
      <c r="A21" s="2">
        <v>6</v>
      </c>
      <c r="B21" s="6" t="s">
        <v>115</v>
      </c>
      <c r="C21" s="2" t="s">
        <v>49</v>
      </c>
      <c r="D21" s="2" t="s">
        <v>48</v>
      </c>
      <c r="E21" s="2">
        <v>710228</v>
      </c>
      <c r="F21" s="5">
        <v>6.44</v>
      </c>
      <c r="G21" s="5">
        <f t="shared" ref="G21:G24" si="4">PRODUCT(E21,F21)</f>
        <v>4573868.32</v>
      </c>
      <c r="H21" s="14">
        <v>7.08</v>
      </c>
      <c r="I21" s="3">
        <f t="shared" ref="I21:I24" si="5">PRODUCT(H21,E21)</f>
        <v>5028414.24</v>
      </c>
    </row>
    <row r="22" spans="1:9" ht="30" x14ac:dyDescent="0.25">
      <c r="A22" s="2">
        <v>7</v>
      </c>
      <c r="B22" s="6" t="s">
        <v>118</v>
      </c>
      <c r="C22" s="2" t="s">
        <v>50</v>
      </c>
      <c r="D22" s="2" t="s">
        <v>48</v>
      </c>
      <c r="E22" s="2">
        <v>384590</v>
      </c>
      <c r="F22" s="5">
        <v>7.8</v>
      </c>
      <c r="G22" s="5">
        <f t="shared" si="4"/>
        <v>2999802</v>
      </c>
      <c r="H22" s="14">
        <v>8.5399999999999991</v>
      </c>
      <c r="I22" s="3">
        <f t="shared" si="5"/>
        <v>3284398.5999999996</v>
      </c>
    </row>
    <row r="23" spans="1:9" ht="45" x14ac:dyDescent="0.25">
      <c r="A23" s="2">
        <v>9</v>
      </c>
      <c r="B23" s="6" t="s">
        <v>119</v>
      </c>
      <c r="C23" s="2" t="s">
        <v>51</v>
      </c>
      <c r="D23" s="2" t="s">
        <v>48</v>
      </c>
      <c r="E23" s="2">
        <v>546840</v>
      </c>
      <c r="F23" s="5">
        <v>9.5</v>
      </c>
      <c r="G23" s="5">
        <f t="shared" si="4"/>
        <v>5194980</v>
      </c>
      <c r="H23" s="14">
        <v>11.6</v>
      </c>
      <c r="I23" s="3">
        <f t="shared" si="5"/>
        <v>6343344</v>
      </c>
    </row>
    <row r="24" spans="1:9" x14ac:dyDescent="0.25">
      <c r="A24" s="2">
        <v>27</v>
      </c>
      <c r="B24" s="6" t="s">
        <v>120</v>
      </c>
      <c r="C24" s="2" t="s">
        <v>52</v>
      </c>
      <c r="D24" s="2" t="s">
        <v>30</v>
      </c>
      <c r="E24" s="2">
        <v>1</v>
      </c>
      <c r="F24" s="5">
        <v>28250</v>
      </c>
      <c r="G24" s="5">
        <f t="shared" si="4"/>
        <v>28250</v>
      </c>
      <c r="H24" s="27">
        <v>26423</v>
      </c>
      <c r="I24" s="3">
        <f t="shared" si="5"/>
        <v>26423</v>
      </c>
    </row>
    <row r="25" spans="1:9" ht="30" x14ac:dyDescent="0.25">
      <c r="A25" s="38" t="s">
        <v>88</v>
      </c>
      <c r="B25" s="39"/>
      <c r="C25" s="39"/>
      <c r="D25" s="39"/>
      <c r="E25" s="39"/>
      <c r="F25" s="40"/>
      <c r="G25" s="12">
        <f>SUM(G21:G24)</f>
        <v>12796900.32</v>
      </c>
      <c r="H25" s="8" t="s">
        <v>89</v>
      </c>
      <c r="I25" s="3">
        <f>SUM(I21:I24)</f>
        <v>14682579.84</v>
      </c>
    </row>
    <row r="27" spans="1:9" x14ac:dyDescent="0.25">
      <c r="A27" s="29" t="s">
        <v>90</v>
      </c>
      <c r="B27" s="29"/>
      <c r="C27" s="29"/>
      <c r="D27" s="29"/>
      <c r="E27" s="29"/>
      <c r="F27" s="29"/>
      <c r="G27" s="29"/>
      <c r="H27" s="29"/>
      <c r="I27" s="29"/>
    </row>
    <row r="28" spans="1:9" ht="60" x14ac:dyDescent="0.25">
      <c r="A28" s="2">
        <v>8</v>
      </c>
      <c r="B28" s="6" t="s">
        <v>120</v>
      </c>
      <c r="C28" s="2" t="s">
        <v>54</v>
      </c>
      <c r="D28" s="2" t="s">
        <v>48</v>
      </c>
      <c r="E28" s="2">
        <v>373600</v>
      </c>
      <c r="F28" s="5">
        <v>12</v>
      </c>
      <c r="G28" s="5">
        <f t="shared" ref="G28" si="6">PRODUCT(E28,F28)</f>
        <v>4483200</v>
      </c>
      <c r="H28" s="14">
        <v>15.32</v>
      </c>
      <c r="I28" s="3">
        <f t="shared" ref="I28" si="7">PRODUCT(H28,E28)</f>
        <v>5723552</v>
      </c>
    </row>
    <row r="29" spans="1:9" ht="30" x14ac:dyDescent="0.25">
      <c r="A29" s="38" t="s">
        <v>91</v>
      </c>
      <c r="B29" s="39"/>
      <c r="C29" s="39"/>
      <c r="D29" s="39"/>
      <c r="E29" s="39"/>
      <c r="F29" s="40"/>
      <c r="G29" s="12">
        <f>SUM(G28)</f>
        <v>4483200</v>
      </c>
      <c r="H29" s="8" t="s">
        <v>92</v>
      </c>
      <c r="I29" s="3">
        <f>SUM(I28)</f>
        <v>5723552</v>
      </c>
    </row>
    <row r="31" spans="1:9" x14ac:dyDescent="0.25">
      <c r="A31" s="29" t="s">
        <v>93</v>
      </c>
      <c r="B31" s="29"/>
      <c r="C31" s="29"/>
      <c r="D31" s="29"/>
      <c r="E31" s="29"/>
      <c r="F31" s="29"/>
      <c r="G31" s="29"/>
      <c r="H31" s="29"/>
      <c r="I31" s="29"/>
    </row>
    <row r="32" spans="1:9" ht="45" x14ac:dyDescent="0.25">
      <c r="A32" s="2">
        <v>10</v>
      </c>
      <c r="B32" s="6" t="s">
        <v>121</v>
      </c>
      <c r="C32" s="2" t="s">
        <v>57</v>
      </c>
      <c r="D32" s="2" t="s">
        <v>48</v>
      </c>
      <c r="E32" s="2">
        <v>11000</v>
      </c>
      <c r="F32" s="5">
        <v>11.7</v>
      </c>
      <c r="G32" s="5">
        <f t="shared" ref="G32:G33" si="8">PRODUCT(E32,F32)</f>
        <v>128699.99999999999</v>
      </c>
      <c r="H32" s="14">
        <v>12.41</v>
      </c>
      <c r="I32" s="3">
        <f t="shared" ref="I32:I33" si="9">PRODUCT(H32,E32)</f>
        <v>136510</v>
      </c>
    </row>
    <row r="33" spans="1:9" ht="30" x14ac:dyDescent="0.25">
      <c r="A33" s="2">
        <v>14</v>
      </c>
      <c r="B33" s="6" t="s">
        <v>122</v>
      </c>
      <c r="C33" s="2" t="s">
        <v>58</v>
      </c>
      <c r="D33" s="2" t="s">
        <v>59</v>
      </c>
      <c r="E33" s="2">
        <v>45</v>
      </c>
      <c r="F33" s="5">
        <v>1500</v>
      </c>
      <c r="G33" s="5">
        <f t="shared" si="8"/>
        <v>67500</v>
      </c>
      <c r="H33" s="27">
        <v>1495.33</v>
      </c>
      <c r="I33" s="3">
        <f t="shared" si="9"/>
        <v>67289.849999999991</v>
      </c>
    </row>
    <row r="34" spans="1:9" ht="30" x14ac:dyDescent="0.25">
      <c r="A34" s="38" t="s">
        <v>94</v>
      </c>
      <c r="B34" s="39"/>
      <c r="C34" s="39"/>
      <c r="D34" s="39"/>
      <c r="E34" s="39"/>
      <c r="F34" s="40"/>
      <c r="G34" s="12">
        <f>SUM(G32:G33)</f>
        <v>196200</v>
      </c>
      <c r="H34" s="8" t="s">
        <v>95</v>
      </c>
      <c r="I34" s="3">
        <f>SUM(I32:I33)</f>
        <v>203799.84999999998</v>
      </c>
    </row>
    <row r="36" spans="1:9" x14ac:dyDescent="0.25">
      <c r="A36" s="29" t="s">
        <v>96</v>
      </c>
      <c r="B36" s="29"/>
      <c r="C36" s="29"/>
      <c r="D36" s="29"/>
      <c r="E36" s="29"/>
      <c r="F36" s="29"/>
      <c r="G36" s="29"/>
      <c r="H36" s="29"/>
      <c r="I36" s="29"/>
    </row>
    <row r="37" spans="1:9" ht="45" x14ac:dyDescent="0.25">
      <c r="A37" s="2">
        <v>12</v>
      </c>
      <c r="B37" s="6" t="s">
        <v>116</v>
      </c>
      <c r="C37" s="2" t="s">
        <v>61</v>
      </c>
      <c r="D37" s="2" t="s">
        <v>30</v>
      </c>
      <c r="E37" s="2">
        <v>75</v>
      </c>
      <c r="F37" s="5">
        <v>6500</v>
      </c>
      <c r="G37" s="5">
        <f t="shared" ref="G37:G39" si="10">PRODUCT(E37,F37)</f>
        <v>487500</v>
      </c>
      <c r="H37" s="27">
        <v>5079.0600000000004</v>
      </c>
      <c r="I37" s="3">
        <f t="shared" ref="I37:I39" si="11">PRODUCT(H37,E37)</f>
        <v>380929.50000000006</v>
      </c>
    </row>
    <row r="38" spans="1:9" ht="45" x14ac:dyDescent="0.25">
      <c r="A38" s="2">
        <v>18</v>
      </c>
      <c r="B38" s="6" t="s">
        <v>123</v>
      </c>
      <c r="C38" s="2" t="s">
        <v>62</v>
      </c>
      <c r="D38" s="2" t="s">
        <v>30</v>
      </c>
      <c r="E38" s="2">
        <v>18</v>
      </c>
      <c r="F38" s="5">
        <v>18004.62</v>
      </c>
      <c r="G38" s="5">
        <f t="shared" si="10"/>
        <v>324083.15999999997</v>
      </c>
      <c r="H38" s="27">
        <v>16688.63</v>
      </c>
      <c r="I38" s="3">
        <f t="shared" si="11"/>
        <v>300395.34000000003</v>
      </c>
    </row>
    <row r="39" spans="1:9" ht="30" x14ac:dyDescent="0.25">
      <c r="A39" s="2">
        <v>20</v>
      </c>
      <c r="B39" s="6" t="s">
        <v>124</v>
      </c>
      <c r="C39" s="2" t="s">
        <v>65</v>
      </c>
      <c r="D39" s="2" t="s">
        <v>30</v>
      </c>
      <c r="E39" s="2">
        <v>310</v>
      </c>
      <c r="F39" s="5">
        <v>3200</v>
      </c>
      <c r="G39" s="5">
        <f t="shared" si="10"/>
        <v>992000</v>
      </c>
      <c r="H39" s="14">
        <v>3415.94</v>
      </c>
      <c r="I39" s="3">
        <f t="shared" si="11"/>
        <v>1058941.3999999999</v>
      </c>
    </row>
    <row r="40" spans="1:9" ht="30" x14ac:dyDescent="0.25">
      <c r="A40" s="38" t="s">
        <v>97</v>
      </c>
      <c r="B40" s="39"/>
      <c r="C40" s="39"/>
      <c r="D40" s="39"/>
      <c r="E40" s="39"/>
      <c r="F40" s="40"/>
      <c r="G40" s="12">
        <f>SUM(G37:G39)</f>
        <v>1803583.16</v>
      </c>
      <c r="H40" s="8" t="s">
        <v>98</v>
      </c>
      <c r="I40" s="3">
        <f>SUM(I37:I39)</f>
        <v>1740266.24</v>
      </c>
    </row>
    <row r="42" spans="1:9" x14ac:dyDescent="0.25">
      <c r="A42" s="29" t="s">
        <v>101</v>
      </c>
      <c r="B42" s="29"/>
      <c r="C42" s="29"/>
      <c r="D42" s="29"/>
      <c r="E42" s="29"/>
      <c r="F42" s="29"/>
      <c r="G42" s="29"/>
      <c r="H42" s="29"/>
      <c r="I42" s="29"/>
    </row>
    <row r="43" spans="1:9" ht="30" x14ac:dyDescent="0.25">
      <c r="A43" s="2">
        <v>15</v>
      </c>
      <c r="B43" s="6" t="s">
        <v>125</v>
      </c>
      <c r="C43" s="2" t="s">
        <v>67</v>
      </c>
      <c r="D43" s="2" t="s">
        <v>30</v>
      </c>
      <c r="E43" s="2">
        <v>6</v>
      </c>
      <c r="F43" s="5">
        <v>4162.1499999999996</v>
      </c>
      <c r="G43" s="5">
        <f t="shared" ref="G43" si="12">PRODUCT(E43,F43)</f>
        <v>24972.899999999998</v>
      </c>
      <c r="H43" s="27">
        <v>4026.5</v>
      </c>
      <c r="I43" s="3">
        <f t="shared" ref="I43" si="13">PRODUCT(H43,E43)</f>
        <v>24159</v>
      </c>
    </row>
    <row r="44" spans="1:9" ht="30" x14ac:dyDescent="0.25">
      <c r="A44" s="38" t="s">
        <v>99</v>
      </c>
      <c r="B44" s="39"/>
      <c r="C44" s="39"/>
      <c r="D44" s="39"/>
      <c r="E44" s="39"/>
      <c r="F44" s="40"/>
      <c r="G44" s="12">
        <f>SUM(G43)</f>
        <v>24972.899999999998</v>
      </c>
      <c r="H44" s="8" t="s">
        <v>100</v>
      </c>
      <c r="I44" s="3">
        <f>SUM(I43)</f>
        <v>24159</v>
      </c>
    </row>
    <row r="46" spans="1:9" x14ac:dyDescent="0.25">
      <c r="A46" s="29" t="s">
        <v>102</v>
      </c>
      <c r="B46" s="29"/>
      <c r="C46" s="29"/>
      <c r="D46" s="29"/>
      <c r="E46" s="29"/>
      <c r="F46" s="29"/>
      <c r="G46" s="29"/>
      <c r="H46" s="29"/>
      <c r="I46" s="29"/>
    </row>
    <row r="47" spans="1:9" ht="30" x14ac:dyDescent="0.25">
      <c r="A47" s="2">
        <v>21</v>
      </c>
      <c r="B47" s="6" t="s">
        <v>126</v>
      </c>
      <c r="C47" s="2" t="s">
        <v>68</v>
      </c>
      <c r="D47" s="2" t="s">
        <v>30</v>
      </c>
      <c r="E47" s="2">
        <v>409</v>
      </c>
      <c r="F47" s="5">
        <v>2098.63</v>
      </c>
      <c r="G47" s="5">
        <f t="shared" ref="G47" si="14">PRODUCT(E47,F47)</f>
        <v>858339.67</v>
      </c>
      <c r="H47" s="27">
        <v>1841.67</v>
      </c>
      <c r="I47" s="3">
        <f t="shared" ref="I47" si="15">PRODUCT(H47,E47)</f>
        <v>753243.03</v>
      </c>
    </row>
    <row r="48" spans="1:9" ht="30" x14ac:dyDescent="0.25">
      <c r="A48" s="38" t="s">
        <v>103</v>
      </c>
      <c r="B48" s="39"/>
      <c r="C48" s="39"/>
      <c r="D48" s="39"/>
      <c r="E48" s="39"/>
      <c r="F48" s="40"/>
      <c r="G48" s="12">
        <f>SUM(G47)</f>
        <v>858339.67</v>
      </c>
      <c r="H48" s="8" t="s">
        <v>104</v>
      </c>
      <c r="I48" s="3">
        <f>SUM(I47)</f>
        <v>753243.03</v>
      </c>
    </row>
    <row r="50" spans="1:9" x14ac:dyDescent="0.25">
      <c r="A50" s="29" t="s">
        <v>105</v>
      </c>
      <c r="B50" s="29"/>
      <c r="C50" s="29"/>
      <c r="D50" s="29"/>
      <c r="E50" s="29"/>
      <c r="F50" s="29"/>
      <c r="G50" s="29"/>
      <c r="H50" s="29"/>
      <c r="I50" s="29"/>
    </row>
    <row r="51" spans="1:9" ht="30" x14ac:dyDescent="0.25">
      <c r="A51" s="2">
        <v>5</v>
      </c>
      <c r="B51" s="6" t="s">
        <v>115</v>
      </c>
      <c r="C51" s="2" t="s">
        <v>27</v>
      </c>
      <c r="D51" s="2" t="s">
        <v>59</v>
      </c>
      <c r="E51" s="2">
        <v>61</v>
      </c>
      <c r="F51" s="5">
        <v>3362.29</v>
      </c>
      <c r="G51" s="5">
        <f t="shared" ref="G51:G55" si="16">PRODUCT(E51,F51)</f>
        <v>205099.69</v>
      </c>
      <c r="H51" s="14" t="s">
        <v>147</v>
      </c>
      <c r="I51" s="3">
        <f t="shared" ref="I51:I55" si="17">PRODUCT(H51,E51)</f>
        <v>61</v>
      </c>
    </row>
    <row r="52" spans="1:9" ht="30" x14ac:dyDescent="0.25">
      <c r="A52" s="2">
        <v>11</v>
      </c>
      <c r="B52" s="6" t="s">
        <v>127</v>
      </c>
      <c r="C52" s="2" t="s">
        <v>75</v>
      </c>
      <c r="D52" s="2" t="s">
        <v>74</v>
      </c>
      <c r="E52" s="2">
        <v>1030</v>
      </c>
      <c r="F52" s="5">
        <v>420</v>
      </c>
      <c r="G52" s="5">
        <f t="shared" si="16"/>
        <v>432600</v>
      </c>
      <c r="H52" s="14">
        <v>454.74</v>
      </c>
      <c r="I52" s="3">
        <f t="shared" si="17"/>
        <v>468382.2</v>
      </c>
    </row>
    <row r="53" spans="1:9" ht="30" x14ac:dyDescent="0.25">
      <c r="A53" s="2">
        <v>16</v>
      </c>
      <c r="B53" s="6" t="s">
        <v>128</v>
      </c>
      <c r="C53" s="2" t="s">
        <v>67</v>
      </c>
      <c r="D53" s="2" t="s">
        <v>59</v>
      </c>
      <c r="E53" s="2">
        <v>45</v>
      </c>
      <c r="F53" s="5">
        <v>388.88</v>
      </c>
      <c r="G53" s="5">
        <f t="shared" si="16"/>
        <v>17499.599999999999</v>
      </c>
      <c r="H53" s="14">
        <v>541</v>
      </c>
      <c r="I53" s="3">
        <f t="shared" si="17"/>
        <v>24345</v>
      </c>
    </row>
    <row r="54" spans="1:9" ht="30" x14ac:dyDescent="0.25">
      <c r="A54" s="2">
        <v>19</v>
      </c>
      <c r="B54" s="6" t="s">
        <v>123</v>
      </c>
      <c r="C54" s="2" t="s">
        <v>76</v>
      </c>
      <c r="D54" s="2" t="s">
        <v>59</v>
      </c>
      <c r="E54" s="2">
        <v>45</v>
      </c>
      <c r="F54" s="5">
        <v>2488.88</v>
      </c>
      <c r="G54" s="5">
        <f t="shared" si="16"/>
        <v>111999.6</v>
      </c>
      <c r="H54" s="27">
        <v>1040.69</v>
      </c>
      <c r="I54" s="3">
        <f t="shared" si="17"/>
        <v>46831.05</v>
      </c>
    </row>
    <row r="55" spans="1:9" ht="30" x14ac:dyDescent="0.25">
      <c r="A55" s="2">
        <v>22</v>
      </c>
      <c r="B55" s="6" t="s">
        <v>73</v>
      </c>
      <c r="C55" s="2" t="s">
        <v>77</v>
      </c>
      <c r="D55" s="2" t="s">
        <v>30</v>
      </c>
      <c r="E55" s="2">
        <v>4</v>
      </c>
      <c r="F55" s="5">
        <v>16658.32</v>
      </c>
      <c r="G55" s="5">
        <f t="shared" si="16"/>
        <v>66633.279999999999</v>
      </c>
      <c r="H55" s="14" t="s">
        <v>147</v>
      </c>
      <c r="I55" s="3">
        <f t="shared" si="17"/>
        <v>4</v>
      </c>
    </row>
    <row r="56" spans="1:9" ht="30" x14ac:dyDescent="0.25">
      <c r="A56" s="38" t="s">
        <v>106</v>
      </c>
      <c r="B56" s="39"/>
      <c r="C56" s="39"/>
      <c r="D56" s="39"/>
      <c r="E56" s="39"/>
      <c r="F56" s="40"/>
      <c r="G56" s="12">
        <f>SUM(G51:G55)</f>
        <v>833832.16999999993</v>
      </c>
      <c r="H56" s="8" t="s">
        <v>107</v>
      </c>
      <c r="I56" s="3">
        <f>SUM(I51:I55)</f>
        <v>539623.25</v>
      </c>
    </row>
    <row r="58" spans="1:9" x14ac:dyDescent="0.25">
      <c r="A58" s="29" t="s">
        <v>108</v>
      </c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2">
        <v>26</v>
      </c>
      <c r="B59" s="6" t="s">
        <v>115</v>
      </c>
      <c r="C59" s="2" t="s">
        <v>78</v>
      </c>
      <c r="D59" s="2" t="s">
        <v>30</v>
      </c>
      <c r="E59" s="2">
        <v>4</v>
      </c>
      <c r="F59" s="5">
        <v>14979.17</v>
      </c>
      <c r="G59" s="5">
        <f t="shared" ref="G59" si="18">PRODUCT(E59,F59)</f>
        <v>59916.68</v>
      </c>
      <c r="H59" s="27">
        <v>8700</v>
      </c>
      <c r="I59" s="3">
        <f t="shared" ref="I59" si="19">PRODUCT(H59,E59)</f>
        <v>34800</v>
      </c>
    </row>
    <row r="60" spans="1:9" ht="30" x14ac:dyDescent="0.25">
      <c r="A60" s="38" t="s">
        <v>109</v>
      </c>
      <c r="B60" s="39"/>
      <c r="C60" s="39"/>
      <c r="D60" s="39"/>
      <c r="E60" s="39"/>
      <c r="F60" s="40"/>
      <c r="G60" s="12">
        <f>SUM(G59)</f>
        <v>59916.68</v>
      </c>
      <c r="H60" s="8" t="s">
        <v>110</v>
      </c>
      <c r="I60" s="3">
        <f>SUM(I59)</f>
        <v>34800</v>
      </c>
    </row>
    <row r="62" spans="1:9" x14ac:dyDescent="0.25">
      <c r="A62" s="41" t="s">
        <v>82</v>
      </c>
      <c r="B62" s="42"/>
      <c r="C62" s="42"/>
      <c r="D62" s="42"/>
      <c r="E62" s="42"/>
      <c r="F62" s="43"/>
      <c r="G62" s="13">
        <f>SUM(G60,G56,G48,G44,G40,G34,G29,G18,G25,G10)</f>
        <v>28710433.120000001</v>
      </c>
      <c r="H62" s="1" t="s">
        <v>83</v>
      </c>
      <c r="I62" s="21">
        <f>SUM(I60,I56,I48,I44,I40,I34,I29,I25,I18,I10)</f>
        <v>31783003.68</v>
      </c>
    </row>
  </sheetData>
  <mergeCells count="30">
    <mergeCell ref="A27:I27"/>
    <mergeCell ref="A31:I31"/>
    <mergeCell ref="A36:I36"/>
    <mergeCell ref="A62:F62"/>
    <mergeCell ref="A25:F25"/>
    <mergeCell ref="A29:F29"/>
    <mergeCell ref="A34:F34"/>
    <mergeCell ref="A40:F40"/>
    <mergeCell ref="A44:F44"/>
    <mergeCell ref="A48:F48"/>
    <mergeCell ref="A56:F56"/>
    <mergeCell ref="A60:F60"/>
    <mergeCell ref="A50:I50"/>
    <mergeCell ref="A58:I58"/>
    <mergeCell ref="A42:I42"/>
    <mergeCell ref="A46:I46"/>
    <mergeCell ref="A5:I5"/>
    <mergeCell ref="C3:C4"/>
    <mergeCell ref="A12:I12"/>
    <mergeCell ref="A20:I20"/>
    <mergeCell ref="A1:I1"/>
    <mergeCell ref="A2:I2"/>
    <mergeCell ref="A3:A4"/>
    <mergeCell ref="B3:B4"/>
    <mergeCell ref="D3:D4"/>
    <mergeCell ref="E3:E4"/>
    <mergeCell ref="F3:G3"/>
    <mergeCell ref="H3:I3"/>
    <mergeCell ref="A10:F10"/>
    <mergeCell ref="A18:F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BEA8-360D-4B2D-A897-4A6CA9F18BF7}">
  <dimension ref="A1:W63"/>
  <sheetViews>
    <sheetView topLeftCell="A19" zoomScale="70" zoomScaleNormal="70" workbookViewId="0">
      <selection activeCell="T68" sqref="T68"/>
    </sheetView>
  </sheetViews>
  <sheetFormatPr defaultRowHeight="15" x14ac:dyDescent="0.25"/>
  <cols>
    <col min="1" max="1" width="5.140625" bestFit="1" customWidth="1"/>
    <col min="2" max="2" width="35.28515625" customWidth="1"/>
    <col min="3" max="3" width="19.42578125" style="16" customWidth="1"/>
    <col min="4" max="4" width="10.85546875" style="16" customWidth="1"/>
    <col min="5" max="5" width="11.42578125" style="16" customWidth="1"/>
    <col min="6" max="6" width="15" style="16" bestFit="1" customWidth="1"/>
    <col min="7" max="7" width="24.28515625" style="16" bestFit="1" customWidth="1"/>
    <col min="8" max="9" width="15" style="16" bestFit="1" customWidth="1"/>
    <col min="10" max="10" width="16.42578125" style="16" bestFit="1" customWidth="1"/>
    <col min="11" max="11" width="15.42578125" style="16" bestFit="1" customWidth="1"/>
    <col min="12" max="12" width="15" style="16" bestFit="1" customWidth="1"/>
    <col min="13" max="13" width="12.140625" style="16" customWidth="1"/>
    <col min="14" max="14" width="14.85546875" style="16" customWidth="1"/>
    <col min="15" max="15" width="16.42578125" style="16" bestFit="1" customWidth="1"/>
    <col min="16" max="16" width="14.28515625" style="16" bestFit="1" customWidth="1"/>
    <col min="17" max="17" width="16" style="16" customWidth="1"/>
    <col min="18" max="18" width="12.140625" style="16" customWidth="1"/>
    <col min="19" max="19" width="12" style="16" customWidth="1"/>
    <col min="20" max="21" width="18.85546875" style="16" bestFit="1" customWidth="1"/>
    <col min="22" max="22" width="16.42578125" style="16" bestFit="1" customWidth="1"/>
    <col min="23" max="23" width="24.5703125" style="16" bestFit="1" customWidth="1"/>
  </cols>
  <sheetData>
    <row r="1" spans="1:23" ht="48.75" customHeight="1" x14ac:dyDescent="0.25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3" t="s">
        <v>130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15" customHeight="1" x14ac:dyDescent="0.25">
      <c r="A3" s="34" t="s">
        <v>0</v>
      </c>
      <c r="B3" s="34" t="s">
        <v>1</v>
      </c>
      <c r="C3" s="30" t="s">
        <v>24</v>
      </c>
      <c r="D3" s="34" t="s">
        <v>2</v>
      </c>
      <c r="E3" s="35" t="s">
        <v>3</v>
      </c>
      <c r="F3" s="36" t="s">
        <v>23</v>
      </c>
      <c r="G3" s="36"/>
      <c r="H3" s="47" t="s">
        <v>7</v>
      </c>
      <c r="I3" s="48"/>
      <c r="J3" s="48"/>
      <c r="K3" s="48"/>
      <c r="L3" s="48"/>
      <c r="M3" s="48"/>
      <c r="N3" s="48"/>
      <c r="O3" s="48"/>
      <c r="P3" s="49"/>
      <c r="Q3" s="45" t="s">
        <v>8</v>
      </c>
      <c r="R3" s="45"/>
      <c r="S3" s="45"/>
      <c r="T3" s="45"/>
      <c r="U3" s="45"/>
      <c r="V3" s="37" t="s">
        <v>9</v>
      </c>
      <c r="W3" s="37"/>
    </row>
    <row r="4" spans="1:23" ht="45" x14ac:dyDescent="0.25">
      <c r="A4" s="34"/>
      <c r="B4" s="34"/>
      <c r="C4" s="44"/>
      <c r="D4" s="34"/>
      <c r="E4" s="35"/>
      <c r="F4" s="36"/>
      <c r="G4" s="36"/>
      <c r="H4" s="35" t="s">
        <v>10</v>
      </c>
      <c r="I4" s="35"/>
      <c r="J4" s="35"/>
      <c r="K4" s="35"/>
      <c r="L4" s="35"/>
      <c r="M4" s="35"/>
      <c r="N4" s="20" t="s">
        <v>146</v>
      </c>
      <c r="O4" s="20" t="s">
        <v>131</v>
      </c>
      <c r="P4" s="20" t="s">
        <v>134</v>
      </c>
      <c r="Q4" s="45"/>
      <c r="R4" s="45"/>
      <c r="S4" s="45"/>
      <c r="T4" s="45"/>
      <c r="U4" s="45"/>
      <c r="V4" s="37"/>
      <c r="W4" s="37"/>
    </row>
    <row r="5" spans="1:23" ht="45" x14ac:dyDescent="0.25">
      <c r="A5" s="34"/>
      <c r="B5" s="34"/>
      <c r="C5" s="31"/>
      <c r="D5" s="34"/>
      <c r="E5" s="35"/>
      <c r="F5" s="10" t="s">
        <v>5</v>
      </c>
      <c r="G5" s="10" t="s">
        <v>6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129</v>
      </c>
      <c r="O5" s="9" t="s">
        <v>148</v>
      </c>
      <c r="P5" s="9" t="s">
        <v>132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9" t="s">
        <v>5</v>
      </c>
      <c r="W5" s="9" t="s">
        <v>6</v>
      </c>
    </row>
    <row r="6" spans="1:23" ht="15" customHeight="1" x14ac:dyDescent="0.25">
      <c r="A6" s="29" t="s">
        <v>136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45" x14ac:dyDescent="0.25">
      <c r="A7" s="2">
        <v>1</v>
      </c>
      <c r="B7" s="6" t="s">
        <v>25</v>
      </c>
      <c r="C7" s="2" t="s">
        <v>27</v>
      </c>
      <c r="D7" s="2" t="s">
        <v>29</v>
      </c>
      <c r="E7" s="2">
        <v>21</v>
      </c>
      <c r="F7" s="5">
        <v>27773.8</v>
      </c>
      <c r="G7" s="5">
        <f>PRODUCT(E7,F7)</f>
        <v>583249.79999999993</v>
      </c>
      <c r="H7" s="3">
        <v>32400</v>
      </c>
      <c r="I7" s="3">
        <v>34000</v>
      </c>
      <c r="J7" s="14">
        <v>33000</v>
      </c>
      <c r="K7" s="14"/>
      <c r="L7" s="14"/>
      <c r="M7" s="14"/>
      <c r="N7" s="14"/>
      <c r="O7" s="14"/>
      <c r="P7" s="14"/>
      <c r="Q7" s="15">
        <f>AVERAGE(H7,I7,J7)</f>
        <v>33133.333333333336</v>
      </c>
      <c r="R7" s="19">
        <f>_xlfn.STDEV.S(H7,I7,J7)</f>
        <v>808.29037686547611</v>
      </c>
      <c r="S7" s="18">
        <f>R7/Q7</f>
        <v>2.4395081796744749E-2</v>
      </c>
      <c r="T7" s="17">
        <f>SUM(Q7,R7)</f>
        <v>33941.623710198815</v>
      </c>
      <c r="U7" s="17">
        <f>Q7-R7</f>
        <v>32325.04295646786</v>
      </c>
      <c r="V7" s="14">
        <v>33133.33</v>
      </c>
      <c r="W7" s="14">
        <f>PRODUCT(E7,V7)</f>
        <v>695799.93</v>
      </c>
    </row>
    <row r="8" spans="1:23" ht="45" x14ac:dyDescent="0.25">
      <c r="A8" s="2">
        <v>2</v>
      </c>
      <c r="B8" s="6" t="s">
        <v>26</v>
      </c>
      <c r="C8" s="2" t="s">
        <v>28</v>
      </c>
      <c r="D8" s="2" t="s">
        <v>29</v>
      </c>
      <c r="E8" s="2">
        <v>32</v>
      </c>
      <c r="F8" s="5">
        <v>18000</v>
      </c>
      <c r="G8" s="5">
        <f>PRODUCT(E8,F8)</f>
        <v>576000</v>
      </c>
      <c r="H8" s="3">
        <v>18899</v>
      </c>
      <c r="I8" s="3">
        <v>15850</v>
      </c>
      <c r="J8" s="14">
        <v>25959</v>
      </c>
      <c r="K8" s="14"/>
      <c r="L8" s="14"/>
      <c r="M8" s="14"/>
      <c r="N8" s="14"/>
      <c r="O8" s="14"/>
      <c r="P8" s="14"/>
      <c r="Q8" s="15">
        <f>AVERAGE(H8,I8,J8)</f>
        <v>20236</v>
      </c>
      <c r="R8" s="19">
        <f>_xlfn.STDEV.S(H8,I8,J8)</f>
        <v>5185.4264048388541</v>
      </c>
      <c r="S8" s="18">
        <f t="shared" ref="S8" si="0">R8/Q8</f>
        <v>0.25624759857871388</v>
      </c>
      <c r="T8" s="17">
        <f t="shared" ref="T8" si="1">SUM(Q8,R8)</f>
        <v>25421.426404838854</v>
      </c>
      <c r="U8" s="17">
        <f t="shared" ref="U8" si="2">Q8-R8</f>
        <v>15050.573595161146</v>
      </c>
      <c r="V8" s="14">
        <v>20236</v>
      </c>
      <c r="W8" s="14">
        <f>PRODUCT(E8,V8)</f>
        <v>647552</v>
      </c>
    </row>
    <row r="9" spans="1:23" ht="30" x14ac:dyDescent="0.25">
      <c r="A9" s="2">
        <v>23</v>
      </c>
      <c r="B9" s="6" t="s">
        <v>31</v>
      </c>
      <c r="C9" s="26" t="s">
        <v>135</v>
      </c>
      <c r="D9" s="2" t="s">
        <v>29</v>
      </c>
      <c r="E9" s="2">
        <v>4</v>
      </c>
      <c r="F9" s="5">
        <v>7500</v>
      </c>
      <c r="G9" s="5">
        <f>PRODUCT(E9,F9)</f>
        <v>30000</v>
      </c>
      <c r="H9" s="3"/>
      <c r="I9" s="3"/>
      <c r="J9" s="14"/>
      <c r="K9" s="14"/>
      <c r="L9" s="14"/>
      <c r="M9" s="14"/>
      <c r="N9" s="14"/>
      <c r="O9" s="14"/>
      <c r="P9" s="14"/>
      <c r="Q9" s="15" t="s">
        <v>147</v>
      </c>
      <c r="R9" s="15" t="s">
        <v>147</v>
      </c>
      <c r="S9" s="15" t="s">
        <v>147</v>
      </c>
      <c r="T9" s="15" t="s">
        <v>147</v>
      </c>
      <c r="U9" s="15" t="s">
        <v>147</v>
      </c>
      <c r="V9" s="14"/>
      <c r="W9" s="14">
        <f>PRODUCT(E9,V9)</f>
        <v>4</v>
      </c>
    </row>
    <row r="10" spans="1:23" ht="30" x14ac:dyDescent="0.25">
      <c r="A10" s="2">
        <v>24</v>
      </c>
      <c r="B10" s="6" t="s">
        <v>32</v>
      </c>
      <c r="C10" s="2" t="s">
        <v>33</v>
      </c>
      <c r="D10" s="2" t="s">
        <v>30</v>
      </c>
      <c r="E10" s="2">
        <v>4</v>
      </c>
      <c r="F10" s="5">
        <v>84000</v>
      </c>
      <c r="G10" s="5">
        <f>PRODUCT(E10,F10)</f>
        <v>336000</v>
      </c>
      <c r="H10" s="3"/>
      <c r="I10" s="3"/>
      <c r="J10" s="14"/>
      <c r="K10" s="14"/>
      <c r="L10" s="14"/>
      <c r="M10" s="14"/>
      <c r="N10" s="14"/>
      <c r="O10" s="14"/>
      <c r="P10" s="14"/>
      <c r="Q10" s="15" t="s">
        <v>147</v>
      </c>
      <c r="R10" s="15" t="s">
        <v>147</v>
      </c>
      <c r="S10" s="15" t="s">
        <v>147</v>
      </c>
      <c r="T10" s="15" t="s">
        <v>147</v>
      </c>
      <c r="U10" s="15" t="s">
        <v>147</v>
      </c>
      <c r="V10" s="14"/>
      <c r="W10" s="14">
        <f>PRODUCT(E10,V10)</f>
        <v>4</v>
      </c>
    </row>
    <row r="11" spans="1:23" x14ac:dyDescent="0.25">
      <c r="A11" s="46" t="s">
        <v>80</v>
      </c>
      <c r="B11" s="46"/>
      <c r="C11" s="46"/>
      <c r="D11" s="46"/>
      <c r="E11" s="46"/>
      <c r="F11" s="46"/>
      <c r="G11" s="24">
        <f>SUM(G7:G10)</f>
        <v>1525249.7999999998</v>
      </c>
      <c r="H11" s="51" t="s">
        <v>81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3"/>
      <c r="W11" s="25">
        <f>SUM(W7:W10)</f>
        <v>1343359.9300000002</v>
      </c>
    </row>
    <row r="13" spans="1:23" ht="15" customHeight="1" x14ac:dyDescent="0.25">
      <c r="A13" s="29" t="s">
        <v>137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45" x14ac:dyDescent="0.25">
      <c r="A14" s="2">
        <v>3</v>
      </c>
      <c r="B14" s="6" t="s">
        <v>34</v>
      </c>
      <c r="C14" s="2" t="s">
        <v>35</v>
      </c>
      <c r="D14" s="2" t="s">
        <v>30</v>
      </c>
      <c r="E14" s="2">
        <v>12</v>
      </c>
      <c r="F14" s="5">
        <v>18489.28</v>
      </c>
      <c r="G14" s="5">
        <f t="shared" ref="G14:G18" si="3">PRODUCT(E14,F14)</f>
        <v>221871.35999999999</v>
      </c>
      <c r="H14" s="3">
        <v>14950</v>
      </c>
      <c r="I14" s="3">
        <v>16666.66</v>
      </c>
      <c r="J14" s="14">
        <v>12000</v>
      </c>
      <c r="K14" s="14">
        <v>11897.99</v>
      </c>
      <c r="L14" s="14"/>
      <c r="M14" s="14"/>
      <c r="N14" s="14"/>
      <c r="O14" s="14"/>
      <c r="P14" s="14"/>
      <c r="Q14" s="27">
        <f>AVERAGE(H14,I14,J14,K14)</f>
        <v>13878.6625</v>
      </c>
      <c r="R14" s="19">
        <f>_xlfn.STDEV.S(H14:I14,J14,K14)</f>
        <v>2336.1742543508262</v>
      </c>
      <c r="S14" s="18">
        <f t="shared" ref="S14:S18" si="4">R14/Q14</f>
        <v>0.16832848657792682</v>
      </c>
      <c r="T14" s="17">
        <f t="shared" ref="T14:T18" si="5">SUM(Q14,R14)</f>
        <v>16214.836754350827</v>
      </c>
      <c r="U14" s="17">
        <f t="shared" ref="U14:U18" si="6">Q14-R14</f>
        <v>11542.488245649174</v>
      </c>
      <c r="V14" s="27">
        <v>13878.66</v>
      </c>
      <c r="W14" s="14">
        <f>PRODUCT(E14,V14)</f>
        <v>166543.91999999998</v>
      </c>
    </row>
    <row r="15" spans="1:23" ht="45" x14ac:dyDescent="0.25">
      <c r="A15" s="2">
        <v>4</v>
      </c>
      <c r="B15" s="6" t="s">
        <v>36</v>
      </c>
      <c r="C15" s="2" t="s">
        <v>40</v>
      </c>
      <c r="D15" s="2" t="s">
        <v>30</v>
      </c>
      <c r="E15" s="2">
        <v>24</v>
      </c>
      <c r="F15" s="5">
        <v>11020.14</v>
      </c>
      <c r="G15" s="5">
        <f t="shared" si="3"/>
        <v>264483.36</v>
      </c>
      <c r="H15" s="3">
        <v>14512.36</v>
      </c>
      <c r="I15" s="3">
        <v>13190</v>
      </c>
      <c r="J15" s="14">
        <v>12300</v>
      </c>
      <c r="K15" s="14"/>
      <c r="L15" s="14"/>
      <c r="M15" s="14"/>
      <c r="N15" s="14"/>
      <c r="O15" s="14">
        <v>8166.66</v>
      </c>
      <c r="P15" s="14"/>
      <c r="Q15" s="15">
        <f>AVERAGE(H15:I15,J15,O15)</f>
        <v>12042.255000000001</v>
      </c>
      <c r="R15" s="19">
        <f>_xlfn.STDEV.S(H15:I15,J15,O15)</f>
        <v>2738.9417898828497</v>
      </c>
      <c r="S15" s="18">
        <f t="shared" si="4"/>
        <v>0.2274442610526724</v>
      </c>
      <c r="T15" s="17">
        <f t="shared" si="5"/>
        <v>14781.196789882852</v>
      </c>
      <c r="U15" s="17">
        <f t="shared" si="6"/>
        <v>9303.3132101171504</v>
      </c>
      <c r="V15" s="14">
        <v>12042.26</v>
      </c>
      <c r="W15" s="14">
        <f>PRODUCT(E15,V15)</f>
        <v>289014.24</v>
      </c>
    </row>
    <row r="16" spans="1:23" ht="45" x14ac:dyDescent="0.25">
      <c r="A16" s="2">
        <v>13</v>
      </c>
      <c r="B16" s="6" t="s">
        <v>37</v>
      </c>
      <c r="C16" s="2" t="s">
        <v>41</v>
      </c>
      <c r="D16" s="2" t="s">
        <v>30</v>
      </c>
      <c r="E16" s="2">
        <v>591</v>
      </c>
      <c r="F16" s="5">
        <v>7102.03</v>
      </c>
      <c r="G16" s="5">
        <f t="shared" si="3"/>
        <v>4197299.7299999995</v>
      </c>
      <c r="H16" s="3">
        <v>8335</v>
      </c>
      <c r="I16" s="3">
        <v>7199</v>
      </c>
      <c r="J16" s="14">
        <v>5880</v>
      </c>
      <c r="K16" s="14"/>
      <c r="L16" s="14"/>
      <c r="M16" s="14"/>
      <c r="N16" s="14"/>
      <c r="O16" s="14">
        <v>7741.76</v>
      </c>
      <c r="P16" s="14"/>
      <c r="Q16" s="15">
        <f>AVERAGE(H16:I16,J16,O16)</f>
        <v>7288.9400000000005</v>
      </c>
      <c r="R16" s="19">
        <f>_xlfn.STDEV.S(H16:I16,J16,O16)</f>
        <v>1047.6145288543173</v>
      </c>
      <c r="S16" s="18">
        <f t="shared" si="4"/>
        <v>0.14372659520510764</v>
      </c>
      <c r="T16" s="17">
        <f t="shared" si="5"/>
        <v>8336.5545288543181</v>
      </c>
      <c r="U16" s="17">
        <f t="shared" si="6"/>
        <v>6241.325471145683</v>
      </c>
      <c r="V16" s="14">
        <v>7288.94</v>
      </c>
      <c r="W16" s="14">
        <f>PRODUCT(E16,V16)</f>
        <v>4307763.54</v>
      </c>
    </row>
    <row r="17" spans="1:23" ht="45" x14ac:dyDescent="0.25">
      <c r="A17" s="2">
        <v>17</v>
      </c>
      <c r="B17" s="6" t="s">
        <v>38</v>
      </c>
      <c r="C17" s="2" t="s">
        <v>42</v>
      </c>
      <c r="D17" s="2" t="s">
        <v>30</v>
      </c>
      <c r="E17" s="2">
        <v>344</v>
      </c>
      <c r="F17" s="5">
        <v>2972.75</v>
      </c>
      <c r="G17" s="5">
        <f t="shared" si="3"/>
        <v>1022626</v>
      </c>
      <c r="H17" s="3">
        <v>3130</v>
      </c>
      <c r="I17" s="3">
        <v>2185</v>
      </c>
      <c r="J17" s="14">
        <v>2974.5</v>
      </c>
      <c r="K17" s="14">
        <v>2490</v>
      </c>
      <c r="L17" s="14"/>
      <c r="M17" s="14"/>
      <c r="N17" s="14"/>
      <c r="O17" s="14">
        <v>3453.54</v>
      </c>
      <c r="P17" s="14"/>
      <c r="Q17" s="27">
        <f>AVERAGE(H17:I17,J17,K17,O17)</f>
        <v>2846.6080000000002</v>
      </c>
      <c r="R17" s="19">
        <f>_xlfn.STDEV.S(H17:I17,J17,K17,O17)</f>
        <v>507.42690441087149</v>
      </c>
      <c r="S17" s="18">
        <f t="shared" si="4"/>
        <v>0.17825668459122979</v>
      </c>
      <c r="T17" s="17">
        <f t="shared" si="5"/>
        <v>3354.0349044108716</v>
      </c>
      <c r="U17" s="17">
        <f t="shared" si="6"/>
        <v>2339.1810955891287</v>
      </c>
      <c r="V17" s="27">
        <v>2846.61</v>
      </c>
      <c r="W17" s="14">
        <f>PRODUCT(E17,V17)</f>
        <v>979233.84000000008</v>
      </c>
    </row>
    <row r="18" spans="1:23" ht="80.25" customHeight="1" x14ac:dyDescent="0.25">
      <c r="A18" s="2">
        <v>25</v>
      </c>
      <c r="B18" s="6" t="s">
        <v>39</v>
      </c>
      <c r="C18" s="2" t="s">
        <v>43</v>
      </c>
      <c r="D18" s="2" t="s">
        <v>30</v>
      </c>
      <c r="E18" s="2">
        <v>71</v>
      </c>
      <c r="F18" s="5">
        <v>5943.07</v>
      </c>
      <c r="G18" s="5">
        <f t="shared" si="3"/>
        <v>421957.97</v>
      </c>
      <c r="H18" s="3">
        <v>18200</v>
      </c>
      <c r="I18" s="3">
        <v>9830</v>
      </c>
      <c r="J18" s="14"/>
      <c r="K18" s="14"/>
      <c r="L18" s="14"/>
      <c r="M18" s="14"/>
      <c r="N18" s="14"/>
      <c r="O18" s="14"/>
      <c r="P18" s="14"/>
      <c r="Q18" s="15">
        <f>AVERAGE(H18,I18)</f>
        <v>14015</v>
      </c>
      <c r="R18" s="19">
        <f>_xlfn.STDEV.S(H18,I18)</f>
        <v>5918.4837585314026</v>
      </c>
      <c r="S18" s="18">
        <f t="shared" si="4"/>
        <v>0.42229637948850535</v>
      </c>
      <c r="T18" s="17">
        <f t="shared" si="5"/>
        <v>19933.483758531402</v>
      </c>
      <c r="U18" s="17">
        <f t="shared" si="6"/>
        <v>8096.5162414685974</v>
      </c>
      <c r="V18" s="14">
        <v>14015</v>
      </c>
      <c r="W18" s="14">
        <f>PRODUCT(E18,V18)</f>
        <v>995065</v>
      </c>
    </row>
    <row r="19" spans="1:23" x14ac:dyDescent="0.25">
      <c r="A19" s="46" t="s">
        <v>85</v>
      </c>
      <c r="B19" s="46"/>
      <c r="C19" s="46"/>
      <c r="D19" s="46"/>
      <c r="E19" s="46"/>
      <c r="F19" s="46"/>
      <c r="G19" s="24">
        <f>SUM(G14:G18)</f>
        <v>6128238.419999999</v>
      </c>
      <c r="H19" s="50" t="s">
        <v>86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25">
        <f>SUM(W14:W18)</f>
        <v>6737620.54</v>
      </c>
    </row>
    <row r="21" spans="1:23" ht="15" customHeight="1" x14ac:dyDescent="0.25">
      <c r="A21" s="29" t="s">
        <v>138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30" x14ac:dyDescent="0.25">
      <c r="A22" s="2">
        <v>6</v>
      </c>
      <c r="B22" s="6" t="s">
        <v>44</v>
      </c>
      <c r="C22" s="2" t="s">
        <v>49</v>
      </c>
      <c r="D22" s="2" t="s">
        <v>48</v>
      </c>
      <c r="E22" s="2">
        <v>710228</v>
      </c>
      <c r="F22" s="5">
        <v>6.44</v>
      </c>
      <c r="G22" s="5">
        <f t="shared" ref="G22:G25" si="7">PRODUCT(E22,F22)</f>
        <v>4573868.32</v>
      </c>
      <c r="H22" s="3">
        <v>7.9</v>
      </c>
      <c r="I22" s="3">
        <v>6.38</v>
      </c>
      <c r="J22" s="14">
        <v>6.43</v>
      </c>
      <c r="K22" s="14">
        <v>8</v>
      </c>
      <c r="L22" s="14">
        <v>7.8</v>
      </c>
      <c r="M22" s="14">
        <v>7.85</v>
      </c>
      <c r="N22" s="14"/>
      <c r="O22" s="14"/>
      <c r="P22" s="14">
        <v>5.19</v>
      </c>
      <c r="Q22" s="15">
        <f>AVERAGE(H22:I22,J22,K22,L22,M22,P22)</f>
        <v>7.0785714285714283</v>
      </c>
      <c r="R22" s="19">
        <f>_xlfn.STDEV.S(H22:I22,J22,K22,L22,M22,P22)</f>
        <v>1.0889356970826847</v>
      </c>
      <c r="S22" s="18">
        <f t="shared" ref="S22:S25" si="8">R22/Q22</f>
        <v>0.15383551724679703</v>
      </c>
      <c r="T22" s="17">
        <f t="shared" ref="T22:T25" si="9">SUM(Q22,R22)</f>
        <v>8.1675071256541134</v>
      </c>
      <c r="U22" s="17">
        <f t="shared" ref="U22:U25" si="10">Q22-R22</f>
        <v>5.9896357314887432</v>
      </c>
      <c r="V22" s="14">
        <v>7.08</v>
      </c>
      <c r="W22" s="14">
        <f>PRODUCT(E22,V22)</f>
        <v>5028414.24</v>
      </c>
    </row>
    <row r="23" spans="1:23" ht="30" x14ac:dyDescent="0.25">
      <c r="A23" s="2">
        <v>7</v>
      </c>
      <c r="B23" s="6" t="s">
        <v>45</v>
      </c>
      <c r="C23" s="2" t="s">
        <v>50</v>
      </c>
      <c r="D23" s="2" t="s">
        <v>48</v>
      </c>
      <c r="E23" s="2">
        <v>384590</v>
      </c>
      <c r="F23" s="5">
        <v>7.8</v>
      </c>
      <c r="G23" s="5">
        <f t="shared" si="7"/>
        <v>2999802</v>
      </c>
      <c r="H23" s="3">
        <v>10</v>
      </c>
      <c r="I23" s="3">
        <v>10</v>
      </c>
      <c r="J23" s="14">
        <v>7.5</v>
      </c>
      <c r="K23" s="14">
        <v>10</v>
      </c>
      <c r="L23" s="14">
        <v>10</v>
      </c>
      <c r="M23" s="14">
        <v>7</v>
      </c>
      <c r="N23" s="14"/>
      <c r="O23" s="14"/>
      <c r="P23" s="14">
        <v>5.31</v>
      </c>
      <c r="Q23" s="15">
        <f>AVERAGE(H23:I23,J23,K23,L23,M23,P23)</f>
        <v>8.5442857142857154</v>
      </c>
      <c r="R23" s="19">
        <f>_xlfn.STDEV.S(H23:I23,J23,K23,L23,M23,P23)</f>
        <v>1.9327170610555588</v>
      </c>
      <c r="S23" s="18">
        <f t="shared" si="8"/>
        <v>0.22619995698694048</v>
      </c>
      <c r="T23" s="17">
        <f t="shared" si="9"/>
        <v>10.477002775341274</v>
      </c>
      <c r="U23" s="17">
        <f t="shared" si="10"/>
        <v>6.6115686532301563</v>
      </c>
      <c r="V23" s="14">
        <v>8.5399999999999991</v>
      </c>
      <c r="W23" s="14">
        <f>PRODUCT(E23,V23)</f>
        <v>3284398.5999999996</v>
      </c>
    </row>
    <row r="24" spans="1:23" ht="30" x14ac:dyDescent="0.25">
      <c r="A24" s="2">
        <v>9</v>
      </c>
      <c r="B24" s="6" t="s">
        <v>46</v>
      </c>
      <c r="C24" s="2" t="s">
        <v>51</v>
      </c>
      <c r="D24" s="2" t="s">
        <v>48</v>
      </c>
      <c r="E24" s="2">
        <v>546840</v>
      </c>
      <c r="F24" s="5">
        <v>9.5</v>
      </c>
      <c r="G24" s="5">
        <f t="shared" si="7"/>
        <v>5194980</v>
      </c>
      <c r="H24" s="3">
        <v>12.32</v>
      </c>
      <c r="I24" s="3">
        <v>9.15</v>
      </c>
      <c r="J24" s="14">
        <v>7.11</v>
      </c>
      <c r="K24" s="14"/>
      <c r="L24" s="14"/>
      <c r="M24" s="14"/>
      <c r="N24" s="14"/>
      <c r="O24" s="14"/>
      <c r="P24" s="14">
        <v>17.8</v>
      </c>
      <c r="Q24" s="15">
        <f>AVERAGE(H24,I24,J24,P24)</f>
        <v>11.594999999999999</v>
      </c>
      <c r="R24" s="19">
        <f>_xlfn.STDEV.S(H24,I24,J24,P24)</f>
        <v>4.6590735845945499</v>
      </c>
      <c r="S24" s="18">
        <f t="shared" si="8"/>
        <v>0.40181747172009918</v>
      </c>
      <c r="T24" s="17">
        <f t="shared" si="9"/>
        <v>16.254073584594551</v>
      </c>
      <c r="U24" s="17">
        <f t="shared" si="10"/>
        <v>6.935926415405449</v>
      </c>
      <c r="V24" s="14">
        <v>11.6</v>
      </c>
      <c r="W24" s="14">
        <f>PRODUCT(E24,V24)</f>
        <v>6343344</v>
      </c>
    </row>
    <row r="25" spans="1:23" ht="30" x14ac:dyDescent="0.25">
      <c r="A25" s="2">
        <v>27</v>
      </c>
      <c r="B25" s="6" t="s">
        <v>47</v>
      </c>
      <c r="C25" s="2" t="s">
        <v>52</v>
      </c>
      <c r="D25" s="2" t="s">
        <v>30</v>
      </c>
      <c r="E25" s="2">
        <v>1</v>
      </c>
      <c r="F25" s="5">
        <v>28250</v>
      </c>
      <c r="G25" s="5">
        <f t="shared" si="7"/>
        <v>28250</v>
      </c>
      <c r="H25" s="3">
        <v>24999</v>
      </c>
      <c r="I25" s="3">
        <v>31200</v>
      </c>
      <c r="J25" s="14">
        <v>23070</v>
      </c>
      <c r="K25" s="14"/>
      <c r="L25" s="14"/>
      <c r="M25" s="14"/>
      <c r="N25" s="14"/>
      <c r="O25" s="14"/>
      <c r="P25" s="14"/>
      <c r="Q25" s="27">
        <f>AVERAGE(H25:I25,J25)</f>
        <v>26423</v>
      </c>
      <c r="R25" s="19">
        <f>_xlfn.STDEV.S(H25:I25,J25)</f>
        <v>4247.9473866798307</v>
      </c>
      <c r="S25" s="18">
        <f t="shared" si="8"/>
        <v>0.16076703579002502</v>
      </c>
      <c r="T25" s="17">
        <f t="shared" si="9"/>
        <v>30670.947386679829</v>
      </c>
      <c r="U25" s="17">
        <f t="shared" si="10"/>
        <v>22175.052613320171</v>
      </c>
      <c r="V25" s="27">
        <v>26423</v>
      </c>
      <c r="W25" s="14">
        <f>PRODUCT(E25,V25)</f>
        <v>26423</v>
      </c>
    </row>
    <row r="26" spans="1:23" x14ac:dyDescent="0.25">
      <c r="A26" s="46" t="s">
        <v>88</v>
      </c>
      <c r="B26" s="46"/>
      <c r="C26" s="46"/>
      <c r="D26" s="46"/>
      <c r="E26" s="46"/>
      <c r="F26" s="46"/>
      <c r="G26" s="24">
        <f>SUM(G22:G25)</f>
        <v>12796900.32</v>
      </c>
      <c r="H26" s="50" t="s">
        <v>89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25">
        <f>SUM(W22:W25)</f>
        <v>14682579.84</v>
      </c>
    </row>
    <row r="28" spans="1:23" ht="15" customHeight="1" x14ac:dyDescent="0.25">
      <c r="A28" s="29" t="s">
        <v>139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45" x14ac:dyDescent="0.25">
      <c r="A29" s="2">
        <v>8</v>
      </c>
      <c r="B29" s="6" t="s">
        <v>53</v>
      </c>
      <c r="C29" s="2" t="s">
        <v>54</v>
      </c>
      <c r="D29" s="2" t="s">
        <v>48</v>
      </c>
      <c r="E29" s="2">
        <v>373600</v>
      </c>
      <c r="F29" s="5">
        <v>12</v>
      </c>
      <c r="G29" s="5">
        <f t="shared" ref="G29" si="11">PRODUCT(E29,F29)</f>
        <v>4483200</v>
      </c>
      <c r="H29" s="3">
        <v>13.6</v>
      </c>
      <c r="I29" s="3">
        <v>12.49</v>
      </c>
      <c r="J29" s="14">
        <v>14.7</v>
      </c>
      <c r="K29" s="14"/>
      <c r="L29" s="14"/>
      <c r="M29" s="14"/>
      <c r="N29" s="14"/>
      <c r="O29" s="14"/>
      <c r="P29" s="14">
        <v>20.5</v>
      </c>
      <c r="Q29" s="15">
        <f>AVERAGE(H29:I29,J29,P29)</f>
        <v>15.3225</v>
      </c>
      <c r="R29" s="19">
        <f>_xlfn.STDEV.S(H29, I29,J29,P29)</f>
        <v>3.567635771768189</v>
      </c>
      <c r="S29" s="18">
        <f t="shared" ref="S29" si="12">R29/Q29</f>
        <v>0.23283640213856674</v>
      </c>
      <c r="T29" s="17">
        <f t="shared" ref="T29" si="13">SUM(Q29,R29)</f>
        <v>18.89013577176819</v>
      </c>
      <c r="U29" s="17">
        <f t="shared" ref="U29" si="14">Q29-R29</f>
        <v>11.75486422823181</v>
      </c>
      <c r="V29" s="14">
        <v>15.32</v>
      </c>
      <c r="W29" s="14">
        <f>PRODUCT(E29,V29)</f>
        <v>5723552</v>
      </c>
    </row>
    <row r="30" spans="1:23" x14ac:dyDescent="0.25">
      <c r="A30" s="46" t="s">
        <v>91</v>
      </c>
      <c r="B30" s="46"/>
      <c r="C30" s="46"/>
      <c r="D30" s="46"/>
      <c r="E30" s="46"/>
      <c r="F30" s="46"/>
      <c r="G30" s="24">
        <f>SUM(G29)</f>
        <v>4483200</v>
      </c>
      <c r="H30" s="50" t="s">
        <v>92</v>
      </c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25">
        <f>SUM(W29)</f>
        <v>5723552</v>
      </c>
    </row>
    <row r="32" spans="1:23" ht="15" customHeight="1" x14ac:dyDescent="0.25">
      <c r="A32" s="29" t="s">
        <v>140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30" x14ac:dyDescent="0.25">
      <c r="A33" s="2">
        <v>10</v>
      </c>
      <c r="B33" s="6" t="s">
        <v>55</v>
      </c>
      <c r="C33" s="2" t="s">
        <v>57</v>
      </c>
      <c r="D33" s="2" t="s">
        <v>48</v>
      </c>
      <c r="E33" s="2">
        <v>11000</v>
      </c>
      <c r="F33" s="5">
        <v>11.7</v>
      </c>
      <c r="G33" s="5">
        <f t="shared" ref="G33:G34" si="15">PRODUCT(E33,F33)</f>
        <v>128699.99999999999</v>
      </c>
      <c r="H33" s="3">
        <v>16.72</v>
      </c>
      <c r="I33" s="3">
        <v>9.5</v>
      </c>
      <c r="J33" s="14">
        <v>11</v>
      </c>
      <c r="K33" s="14"/>
      <c r="L33" s="14"/>
      <c r="M33" s="14"/>
      <c r="N33" s="14"/>
      <c r="O33" s="14"/>
      <c r="P33" s="14"/>
      <c r="Q33" s="15">
        <f>AVERAGE(H33,I33,J33)</f>
        <v>12.406666666666666</v>
      </c>
      <c r="R33" s="19">
        <f>_xlfn.STDEV.S(H33,I33,J33)</f>
        <v>3.8100043744506813</v>
      </c>
      <c r="S33" s="18">
        <f t="shared" ref="S33:S34" si="16">R33/Q33</f>
        <v>0.30709331336249446</v>
      </c>
      <c r="T33" s="17">
        <f t="shared" ref="T33:T34" si="17">SUM(Q33,R33)</f>
        <v>16.216671041117348</v>
      </c>
      <c r="U33" s="17">
        <f t="shared" ref="U33:U34" si="18">Q33-R33</f>
        <v>8.596662292215985</v>
      </c>
      <c r="V33" s="14">
        <v>12.41</v>
      </c>
      <c r="W33" s="14">
        <f>PRODUCT(E33,V33)</f>
        <v>136510</v>
      </c>
    </row>
    <row r="34" spans="1:23" ht="60" x14ac:dyDescent="0.25">
      <c r="A34" s="2">
        <v>14</v>
      </c>
      <c r="B34" s="6" t="s">
        <v>56</v>
      </c>
      <c r="C34" s="2" t="s">
        <v>58</v>
      </c>
      <c r="D34" s="2" t="s">
        <v>59</v>
      </c>
      <c r="E34" s="2">
        <v>45</v>
      </c>
      <c r="F34" s="5">
        <v>1500</v>
      </c>
      <c r="G34" s="5">
        <f t="shared" si="15"/>
        <v>67500</v>
      </c>
      <c r="H34" s="3">
        <v>1040</v>
      </c>
      <c r="I34" s="3">
        <v>1750</v>
      </c>
      <c r="J34" s="14">
        <v>1696</v>
      </c>
      <c r="K34" s="14"/>
      <c r="L34" s="14"/>
      <c r="M34" s="14"/>
      <c r="N34" s="14"/>
      <c r="O34" s="14"/>
      <c r="P34" s="14"/>
      <c r="Q34" s="27">
        <f>AVERAGE(H34,I34,J34)</f>
        <v>1495.3333333333333</v>
      </c>
      <c r="R34" s="19">
        <f>_xlfn.STDEV.S(H34,I34,J34)</f>
        <v>395.25350514996512</v>
      </c>
      <c r="S34" s="18">
        <f t="shared" si="16"/>
        <v>0.26432468021620498</v>
      </c>
      <c r="T34" s="17">
        <f t="shared" si="17"/>
        <v>1890.5868384832984</v>
      </c>
      <c r="U34" s="17">
        <f t="shared" si="18"/>
        <v>1100.0798281833681</v>
      </c>
      <c r="V34" s="27">
        <v>1495.33</v>
      </c>
      <c r="W34" s="14">
        <f>PRODUCT(E34,V34)</f>
        <v>67289.849999999991</v>
      </c>
    </row>
    <row r="35" spans="1:23" x14ac:dyDescent="0.25">
      <c r="A35" s="46" t="s">
        <v>94</v>
      </c>
      <c r="B35" s="46"/>
      <c r="C35" s="46"/>
      <c r="D35" s="46"/>
      <c r="E35" s="46"/>
      <c r="F35" s="46"/>
      <c r="G35" s="24">
        <f>SUM(G33:G34)</f>
        <v>196200</v>
      </c>
      <c r="H35" s="50" t="s">
        <v>95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25">
        <f>SUM(W33:W34)</f>
        <v>203799.84999999998</v>
      </c>
    </row>
    <row r="37" spans="1:23" ht="15" customHeight="1" x14ac:dyDescent="0.25">
      <c r="A37" s="29" t="s">
        <v>141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45" x14ac:dyDescent="0.25">
      <c r="A38" s="2">
        <v>12</v>
      </c>
      <c r="B38" s="6" t="s">
        <v>60</v>
      </c>
      <c r="C38" s="2" t="s">
        <v>61</v>
      </c>
      <c r="D38" s="2" t="s">
        <v>30</v>
      </c>
      <c r="E38" s="2">
        <v>75</v>
      </c>
      <c r="F38" s="5">
        <v>6500</v>
      </c>
      <c r="G38" s="5">
        <f t="shared" ref="G38:G40" si="19">PRODUCT(E38,F38)</f>
        <v>487500</v>
      </c>
      <c r="H38" s="3">
        <v>3294.24</v>
      </c>
      <c r="I38" s="3">
        <v>5699.84</v>
      </c>
      <c r="J38" s="14"/>
      <c r="K38" s="14"/>
      <c r="L38" s="14"/>
      <c r="M38" s="14"/>
      <c r="N38" s="14"/>
      <c r="O38" s="14">
        <v>6243.11</v>
      </c>
      <c r="P38" s="14"/>
      <c r="Q38" s="27">
        <f>AVERAGE(H38,I38,O38)</f>
        <v>5079.0633333333326</v>
      </c>
      <c r="R38" s="19">
        <f>_xlfn.STDEV.S(H38,I38,O38)</f>
        <v>1569.3888369786944</v>
      </c>
      <c r="S38" s="18">
        <f t="shared" ref="S38:S40" si="20">R38/Q38</f>
        <v>0.30899178332330857</v>
      </c>
      <c r="T38" s="17">
        <f t="shared" ref="T38:T40" si="21">SUM(Q38,R38)</f>
        <v>6648.4521703120272</v>
      </c>
      <c r="U38" s="17">
        <f t="shared" ref="U38:U40" si="22">Q38-R38</f>
        <v>3509.674496354638</v>
      </c>
      <c r="V38" s="27">
        <v>5079.0600000000004</v>
      </c>
      <c r="W38" s="14">
        <f>PRODUCT(E38,V38)</f>
        <v>380929.50000000006</v>
      </c>
    </row>
    <row r="39" spans="1:23" ht="47.25" customHeight="1" x14ac:dyDescent="0.25">
      <c r="A39" s="2">
        <v>18</v>
      </c>
      <c r="B39" s="6" t="s">
        <v>63</v>
      </c>
      <c r="C39" s="2" t="s">
        <v>62</v>
      </c>
      <c r="D39" s="2" t="s">
        <v>30</v>
      </c>
      <c r="E39" s="2">
        <v>18</v>
      </c>
      <c r="F39" s="5">
        <v>18004.62</v>
      </c>
      <c r="G39" s="5">
        <f t="shared" si="19"/>
        <v>324083.15999999997</v>
      </c>
      <c r="H39" s="3">
        <v>16032.95</v>
      </c>
      <c r="I39" s="3">
        <v>16032.95</v>
      </c>
      <c r="J39" s="14">
        <v>18000</v>
      </c>
      <c r="K39" s="14"/>
      <c r="L39" s="14"/>
      <c r="M39" s="14"/>
      <c r="N39" s="14"/>
      <c r="O39" s="14"/>
      <c r="P39" s="14"/>
      <c r="Q39" s="27">
        <f>AVERAGE(H39,I39,J39)</f>
        <v>16688.633333333335</v>
      </c>
      <c r="R39" s="19">
        <f>_xlfn.STDEV.S(H39,I39,J39)</f>
        <v>1135.676847009453</v>
      </c>
      <c r="S39" s="18">
        <f t="shared" si="20"/>
        <v>6.8050919708391513E-2</v>
      </c>
      <c r="T39" s="17">
        <f t="shared" si="21"/>
        <v>17824.310180342789</v>
      </c>
      <c r="U39" s="17">
        <f t="shared" si="22"/>
        <v>15552.956486323881</v>
      </c>
      <c r="V39" s="27">
        <v>16688.63</v>
      </c>
      <c r="W39" s="14">
        <f>PRODUCT(E39,V39)</f>
        <v>300395.34000000003</v>
      </c>
    </row>
    <row r="40" spans="1:23" ht="30" x14ac:dyDescent="0.25">
      <c r="A40" s="2">
        <v>20</v>
      </c>
      <c r="B40" s="6" t="s">
        <v>64</v>
      </c>
      <c r="C40" s="2" t="s">
        <v>65</v>
      </c>
      <c r="D40" s="2" t="s">
        <v>30</v>
      </c>
      <c r="E40" s="2">
        <v>310</v>
      </c>
      <c r="F40" s="5">
        <v>3200</v>
      </c>
      <c r="G40" s="5">
        <f t="shared" si="19"/>
        <v>992000</v>
      </c>
      <c r="H40" s="3">
        <v>3500</v>
      </c>
      <c r="I40" s="3">
        <v>3240</v>
      </c>
      <c r="J40" s="14">
        <v>3394</v>
      </c>
      <c r="K40" s="14">
        <v>3612.81</v>
      </c>
      <c r="L40" s="14">
        <v>3779.7</v>
      </c>
      <c r="M40" s="14"/>
      <c r="N40" s="14"/>
      <c r="O40" s="14">
        <v>3185.05</v>
      </c>
      <c r="P40" s="14"/>
      <c r="Q40" s="15">
        <f>AVERAGE(H40:I40,J40,K40,L40,O40)</f>
        <v>3451.9266666666663</v>
      </c>
      <c r="R40" s="19">
        <f>_xlfn.STDEV.S(H40,I40,J40,L40,K40,O40)</f>
        <v>225.88555347048342</v>
      </c>
      <c r="S40" s="18">
        <f t="shared" si="20"/>
        <v>6.5437529612588363E-2</v>
      </c>
      <c r="T40" s="17">
        <f t="shared" si="21"/>
        <v>3677.8122201371498</v>
      </c>
      <c r="U40" s="17">
        <f t="shared" si="22"/>
        <v>3226.0411131961828</v>
      </c>
      <c r="V40" s="14">
        <v>3415.94</v>
      </c>
      <c r="W40" s="14">
        <f>PRODUCT(E40,V40)</f>
        <v>1058941.3999999999</v>
      </c>
    </row>
    <row r="41" spans="1:23" x14ac:dyDescent="0.25">
      <c r="A41" s="46" t="s">
        <v>97</v>
      </c>
      <c r="B41" s="46"/>
      <c r="C41" s="46"/>
      <c r="D41" s="46"/>
      <c r="E41" s="46"/>
      <c r="F41" s="46"/>
      <c r="G41" s="24">
        <f>SUM(G38:G40)</f>
        <v>1803583.16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22">
        <f>SUM(W38:W40)</f>
        <v>1740266.24</v>
      </c>
    </row>
    <row r="43" spans="1:23" ht="15" customHeight="1" x14ac:dyDescent="0.25">
      <c r="A43" s="29" t="s">
        <v>142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45" x14ac:dyDescent="0.25">
      <c r="A44" s="2">
        <v>15</v>
      </c>
      <c r="B44" s="6" t="s">
        <v>66</v>
      </c>
      <c r="C44" s="2" t="s">
        <v>67</v>
      </c>
      <c r="D44" s="2" t="s">
        <v>30</v>
      </c>
      <c r="E44" s="2">
        <v>6</v>
      </c>
      <c r="F44" s="5">
        <v>4162.1499999999996</v>
      </c>
      <c r="G44" s="5">
        <f t="shared" ref="G44" si="23">PRODUCT(E44,F44)</f>
        <v>24972.899999999998</v>
      </c>
      <c r="H44" s="3">
        <v>4200</v>
      </c>
      <c r="I44" s="3">
        <v>4524.95</v>
      </c>
      <c r="J44" s="14">
        <v>3204</v>
      </c>
      <c r="K44" s="14">
        <v>4750</v>
      </c>
      <c r="L44" s="14"/>
      <c r="M44" s="14"/>
      <c r="N44" s="14"/>
      <c r="O44" s="14">
        <v>3453.54</v>
      </c>
      <c r="P44" s="14"/>
      <c r="Q44" s="27">
        <f>AVERAGE(H44,I44,J44,K44,O44)</f>
        <v>4026.4980000000005</v>
      </c>
      <c r="R44" s="19">
        <f>_xlfn.STDEV.S(H44,I44,J44,K44,O44)</f>
        <v>672.08561844455221</v>
      </c>
      <c r="S44" s="18">
        <f t="shared" ref="S44" si="24">R44/Q44</f>
        <v>0.16691567174367208</v>
      </c>
      <c r="T44" s="17">
        <f t="shared" ref="T44" si="25">SUM(Q44,R44)</f>
        <v>4698.5836184445525</v>
      </c>
      <c r="U44" s="17">
        <f t="shared" ref="U44" si="26">Q44-R44</f>
        <v>3354.4123815554485</v>
      </c>
      <c r="V44" s="27">
        <v>4026.5</v>
      </c>
      <c r="W44" s="14">
        <f>PRODUCT(E44,V44)</f>
        <v>24159</v>
      </c>
    </row>
    <row r="45" spans="1:23" x14ac:dyDescent="0.25">
      <c r="A45" s="46" t="s">
        <v>99</v>
      </c>
      <c r="B45" s="46"/>
      <c r="C45" s="46"/>
      <c r="D45" s="46"/>
      <c r="E45" s="46"/>
      <c r="F45" s="46"/>
      <c r="G45" s="24">
        <f>SUM(G44)</f>
        <v>24972.899999999998</v>
      </c>
      <c r="H45" s="50" t="s">
        <v>100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25">
        <f>SUM(W44)</f>
        <v>24159</v>
      </c>
    </row>
    <row r="47" spans="1:23" ht="15" customHeight="1" x14ac:dyDescent="0.25">
      <c r="A47" s="29" t="s">
        <v>143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30" x14ac:dyDescent="0.25">
      <c r="A48" s="2">
        <v>21</v>
      </c>
      <c r="B48" s="6" t="s">
        <v>133</v>
      </c>
      <c r="C48" s="2" t="s">
        <v>68</v>
      </c>
      <c r="D48" s="2" t="s">
        <v>30</v>
      </c>
      <c r="E48" s="2">
        <v>409</v>
      </c>
      <c r="F48" s="5">
        <v>2098.63</v>
      </c>
      <c r="G48" s="5">
        <f t="shared" ref="G48" si="27">PRODUCT(E48,F48)</f>
        <v>858339.67</v>
      </c>
      <c r="H48" s="3">
        <v>2408</v>
      </c>
      <c r="I48" s="3">
        <v>1452</v>
      </c>
      <c r="J48" s="14">
        <v>1665</v>
      </c>
      <c r="K48" s="14"/>
      <c r="L48" s="14"/>
      <c r="M48" s="14"/>
      <c r="N48" s="14"/>
      <c r="O48" s="14"/>
      <c r="P48" s="14"/>
      <c r="Q48" s="27">
        <f>AVERAGE(H48,I48,J48)</f>
        <v>1841.6666666666667</v>
      </c>
      <c r="R48" s="19">
        <f>_xlfn.STDEV.S(H48,I48,J48)</f>
        <v>501.88876589672043</v>
      </c>
      <c r="S48" s="18">
        <f t="shared" ref="S48" si="28">R48/Q48</f>
        <v>0.2725187869122464</v>
      </c>
      <c r="T48" s="17">
        <f t="shared" ref="T48" si="29">SUM(Q48,R48)</f>
        <v>2343.5554325633871</v>
      </c>
      <c r="U48" s="17">
        <f t="shared" ref="U48" si="30">Q48-R48</f>
        <v>1339.7779007699464</v>
      </c>
      <c r="V48" s="27">
        <v>1841.67</v>
      </c>
      <c r="W48" s="14">
        <f>PRODUCT(E48,V48)</f>
        <v>753243.03</v>
      </c>
    </row>
    <row r="49" spans="1:23" x14ac:dyDescent="0.25">
      <c r="A49" s="46" t="s">
        <v>103</v>
      </c>
      <c r="B49" s="46"/>
      <c r="C49" s="46"/>
      <c r="D49" s="46"/>
      <c r="E49" s="46"/>
      <c r="F49" s="46"/>
      <c r="G49" s="24">
        <f>SUM(G48)</f>
        <v>858339.67</v>
      </c>
      <c r="H49" s="50" t="s">
        <v>104</v>
      </c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25">
        <f>SUM(W48)</f>
        <v>753243.03</v>
      </c>
    </row>
    <row r="51" spans="1:23" ht="15" customHeight="1" x14ac:dyDescent="0.25">
      <c r="A51" s="29" t="s">
        <v>144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30" x14ac:dyDescent="0.25">
      <c r="A52" s="2">
        <v>5</v>
      </c>
      <c r="B52" s="6" t="s">
        <v>69</v>
      </c>
      <c r="C52" s="2" t="s">
        <v>27</v>
      </c>
      <c r="D52" s="2" t="s">
        <v>59</v>
      </c>
      <c r="E52" s="2">
        <v>61</v>
      </c>
      <c r="F52" s="5">
        <v>3362.29</v>
      </c>
      <c r="G52" s="5">
        <f t="shared" ref="G52:G56" si="31">PRODUCT(E52,F52)</f>
        <v>205099.69</v>
      </c>
      <c r="H52" s="3"/>
      <c r="I52" s="3"/>
      <c r="J52" s="14"/>
      <c r="K52" s="14"/>
      <c r="L52" s="14"/>
      <c r="M52" s="14"/>
      <c r="N52" s="14"/>
      <c r="O52" s="14"/>
      <c r="P52" s="14"/>
      <c r="Q52" s="15" t="s">
        <v>147</v>
      </c>
      <c r="R52" s="19" t="s">
        <v>147</v>
      </c>
      <c r="S52" s="18" t="s">
        <v>147</v>
      </c>
      <c r="T52" s="17" t="s">
        <v>147</v>
      </c>
      <c r="U52" s="17" t="s">
        <v>147</v>
      </c>
      <c r="V52" s="14" t="s">
        <v>147</v>
      </c>
      <c r="W52" s="14">
        <f>PRODUCT(E52,V52)</f>
        <v>61</v>
      </c>
    </row>
    <row r="53" spans="1:23" ht="30" x14ac:dyDescent="0.25">
      <c r="A53" s="2">
        <v>11</v>
      </c>
      <c r="B53" s="6" t="s">
        <v>70</v>
      </c>
      <c r="C53" s="2" t="s">
        <v>75</v>
      </c>
      <c r="D53" s="2" t="s">
        <v>74</v>
      </c>
      <c r="E53" s="2">
        <v>1030</v>
      </c>
      <c r="F53" s="5">
        <v>420</v>
      </c>
      <c r="G53" s="5">
        <f t="shared" si="31"/>
        <v>432600</v>
      </c>
      <c r="H53" s="3">
        <v>390</v>
      </c>
      <c r="I53" s="3">
        <v>443.95</v>
      </c>
      <c r="J53" s="14">
        <v>560</v>
      </c>
      <c r="K53" s="14">
        <v>425</v>
      </c>
      <c r="L53" s="14"/>
      <c r="M53" s="14"/>
      <c r="N53" s="14"/>
      <c r="O53" s="14"/>
      <c r="P53" s="14"/>
      <c r="Q53" s="15">
        <f>AVERAGE(H53,I53,J53,K53)</f>
        <v>454.73750000000001</v>
      </c>
      <c r="R53" s="19">
        <f>_xlfn.STDEV.S(H53,I53,J53,K53)</f>
        <v>73.647418771241917</v>
      </c>
      <c r="S53" s="18">
        <f t="shared" ref="S53:S55" si="32">R53/Q53</f>
        <v>0.16195589493112381</v>
      </c>
      <c r="T53" s="17">
        <f t="shared" ref="T53:T55" si="33">SUM(Q53,R53)</f>
        <v>528.38491877124193</v>
      </c>
      <c r="U53" s="17">
        <f t="shared" ref="U53:U55" si="34">Q53-R53</f>
        <v>381.09008122875809</v>
      </c>
      <c r="V53" s="14">
        <v>454.74</v>
      </c>
      <c r="W53" s="14">
        <f>PRODUCT(E53,V53)</f>
        <v>468382.2</v>
      </c>
    </row>
    <row r="54" spans="1:23" ht="60" x14ac:dyDescent="0.25">
      <c r="A54" s="2">
        <v>16</v>
      </c>
      <c r="B54" s="6" t="s">
        <v>71</v>
      </c>
      <c r="C54" s="2" t="s">
        <v>67</v>
      </c>
      <c r="D54" s="2" t="s">
        <v>59</v>
      </c>
      <c r="E54" s="2">
        <v>45</v>
      </c>
      <c r="F54" s="5">
        <v>388.88</v>
      </c>
      <c r="G54" s="5">
        <f t="shared" si="31"/>
        <v>17499.599999999999</v>
      </c>
      <c r="H54" s="3">
        <v>405</v>
      </c>
      <c r="I54" s="14">
        <v>598</v>
      </c>
      <c r="J54" s="14">
        <v>619.99</v>
      </c>
      <c r="K54" s="28"/>
      <c r="L54" s="28"/>
      <c r="M54" s="14"/>
      <c r="N54" s="14"/>
      <c r="O54" s="14"/>
      <c r="P54" s="14"/>
      <c r="Q54" s="15">
        <f>AVERAGE(H54,I54,J54)</f>
        <v>540.99666666666667</v>
      </c>
      <c r="R54" s="19">
        <f>_xlfn.STDEV.S(H54,I54,J54)</f>
        <v>118.2886724641603</v>
      </c>
      <c r="S54" s="18">
        <f t="shared" si="32"/>
        <v>0.21864954028828329</v>
      </c>
      <c r="T54" s="17">
        <f t="shared" si="33"/>
        <v>659.28533913082697</v>
      </c>
      <c r="U54" s="17">
        <f t="shared" si="34"/>
        <v>422.70799420250637</v>
      </c>
      <c r="V54" s="14">
        <v>541</v>
      </c>
      <c r="W54" s="14">
        <f>PRODUCT(E54,V54)</f>
        <v>24345</v>
      </c>
    </row>
    <row r="55" spans="1:23" ht="45" x14ac:dyDescent="0.25">
      <c r="A55" s="2">
        <v>19</v>
      </c>
      <c r="B55" s="6" t="s">
        <v>72</v>
      </c>
      <c r="C55" s="2" t="s">
        <v>76</v>
      </c>
      <c r="D55" s="2" t="s">
        <v>59</v>
      </c>
      <c r="E55" s="2">
        <v>45</v>
      </c>
      <c r="F55" s="5">
        <v>2488.88</v>
      </c>
      <c r="G55" s="5">
        <f t="shared" si="31"/>
        <v>111999.6</v>
      </c>
      <c r="H55" s="3">
        <v>1062.75</v>
      </c>
      <c r="I55" s="3">
        <v>900</v>
      </c>
      <c r="J55" s="14">
        <v>900</v>
      </c>
      <c r="K55" s="14"/>
      <c r="L55" s="14"/>
      <c r="M55" s="14"/>
      <c r="N55" s="14">
        <v>1300</v>
      </c>
      <c r="O55" s="14"/>
      <c r="P55" s="14"/>
      <c r="Q55" s="27">
        <f>AVERAGE(H55,I55,J55,N55)</f>
        <v>1040.6875</v>
      </c>
      <c r="R55" s="19">
        <f>_xlfn.STDEV.S(H55,I55,J55,N55)</f>
        <v>189.13458336591961</v>
      </c>
      <c r="S55" s="18">
        <f t="shared" si="32"/>
        <v>0.18174003566480776</v>
      </c>
      <c r="T55" s="17">
        <f t="shared" si="33"/>
        <v>1229.8220833659195</v>
      </c>
      <c r="U55" s="17">
        <f t="shared" si="34"/>
        <v>851.55291663408036</v>
      </c>
      <c r="V55" s="27">
        <v>1040.69</v>
      </c>
      <c r="W55" s="14">
        <f>PRODUCT(E55,V55)</f>
        <v>46831.05</v>
      </c>
    </row>
    <row r="56" spans="1:23" ht="30" x14ac:dyDescent="0.25">
      <c r="A56" s="2">
        <v>22</v>
      </c>
      <c r="B56" s="6" t="s">
        <v>73</v>
      </c>
      <c r="C56" s="2" t="s">
        <v>77</v>
      </c>
      <c r="D56" s="2" t="s">
        <v>30</v>
      </c>
      <c r="E56" s="2">
        <v>4</v>
      </c>
      <c r="F56" s="5">
        <v>16658.32</v>
      </c>
      <c r="G56" s="5">
        <f t="shared" si="31"/>
        <v>66633.279999999999</v>
      </c>
      <c r="H56" s="3"/>
      <c r="I56" s="3"/>
      <c r="J56" s="14"/>
      <c r="K56" s="14"/>
      <c r="L56" s="14"/>
      <c r="M56" s="14"/>
      <c r="N56" s="14"/>
      <c r="O56" s="14"/>
      <c r="P56" s="14"/>
      <c r="Q56" s="15" t="s">
        <v>147</v>
      </c>
      <c r="R56" s="19" t="s">
        <v>147</v>
      </c>
      <c r="S56" s="18" t="s">
        <v>147</v>
      </c>
      <c r="T56" s="17" t="s">
        <v>147</v>
      </c>
      <c r="U56" s="17" t="s">
        <v>147</v>
      </c>
      <c r="V56" s="14" t="s">
        <v>147</v>
      </c>
      <c r="W56" s="14">
        <f>PRODUCT(E56,V56)</f>
        <v>4</v>
      </c>
    </row>
    <row r="57" spans="1:23" x14ac:dyDescent="0.25">
      <c r="A57" s="46" t="s">
        <v>106</v>
      </c>
      <c r="B57" s="46"/>
      <c r="C57" s="46"/>
      <c r="D57" s="46"/>
      <c r="E57" s="46"/>
      <c r="F57" s="46"/>
      <c r="G57" s="24">
        <f>SUM(G52:G56)</f>
        <v>833832.16999999993</v>
      </c>
      <c r="H57" s="50" t="s">
        <v>107</v>
      </c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25">
        <f>SUM(W52:W56)</f>
        <v>539623.25</v>
      </c>
    </row>
    <row r="59" spans="1:23" ht="15" customHeight="1" x14ac:dyDescent="0.25">
      <c r="A59" s="29" t="s">
        <v>145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30" x14ac:dyDescent="0.25">
      <c r="A60" s="2">
        <v>26</v>
      </c>
      <c r="B60" s="2" t="s">
        <v>44</v>
      </c>
      <c r="C60" s="2" t="s">
        <v>78</v>
      </c>
      <c r="D60" s="2" t="s">
        <v>30</v>
      </c>
      <c r="E60" s="2">
        <v>4</v>
      </c>
      <c r="F60" s="5">
        <v>14979.17</v>
      </c>
      <c r="G60" s="5">
        <f t="shared" ref="G60" si="35">PRODUCT(E60,F60)</f>
        <v>59916.68</v>
      </c>
      <c r="H60" s="3">
        <v>8700</v>
      </c>
      <c r="I60" s="3"/>
      <c r="J60" s="14"/>
      <c r="K60" s="14"/>
      <c r="L60" s="14"/>
      <c r="M60" s="14"/>
      <c r="N60" s="14"/>
      <c r="O60" s="14"/>
      <c r="P60" s="14"/>
      <c r="Q60" s="27">
        <f>AVERAGE(H60)</f>
        <v>8700</v>
      </c>
      <c r="R60" s="19" t="s">
        <v>147</v>
      </c>
      <c r="S60" s="18" t="s">
        <v>147</v>
      </c>
      <c r="T60" s="17" t="s">
        <v>147</v>
      </c>
      <c r="U60" s="17" t="s">
        <v>147</v>
      </c>
      <c r="V60" s="27">
        <v>8700</v>
      </c>
      <c r="W60" s="14">
        <f>PRODUCT(E60,V60)</f>
        <v>34800</v>
      </c>
    </row>
    <row r="61" spans="1:23" x14ac:dyDescent="0.25">
      <c r="A61" s="46" t="s">
        <v>109</v>
      </c>
      <c r="B61" s="46"/>
      <c r="C61" s="46"/>
      <c r="D61" s="46"/>
      <c r="E61" s="46"/>
      <c r="F61" s="46"/>
      <c r="G61" s="24">
        <f>SUM(G60)</f>
        <v>59916.68</v>
      </c>
      <c r="H61" s="50" t="s">
        <v>110</v>
      </c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25">
        <f>SUM(W60)</f>
        <v>34800</v>
      </c>
    </row>
    <row r="63" spans="1:23" x14ac:dyDescent="0.25">
      <c r="A63" s="41" t="s">
        <v>82</v>
      </c>
      <c r="B63" s="42"/>
      <c r="C63" s="42"/>
      <c r="D63" s="42"/>
      <c r="E63" s="42"/>
      <c r="F63" s="43"/>
      <c r="G63" s="23">
        <f>SUM(G61,G57,G49,G45,G41,G35,G30,G19,G26,G11)</f>
        <v>28710433.120000001</v>
      </c>
      <c r="H63" s="54" t="s">
        <v>83</v>
      </c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22">
        <f>SUM(W61,W57,W49,W45,W41,W35,W30,W26,W19,W11)</f>
        <v>31783003.68</v>
      </c>
    </row>
  </sheetData>
  <mergeCells count="44">
    <mergeCell ref="H11:V11"/>
    <mergeCell ref="A13:W13"/>
    <mergeCell ref="H19:V19"/>
    <mergeCell ref="A63:F63"/>
    <mergeCell ref="H63:V63"/>
    <mergeCell ref="A49:F49"/>
    <mergeCell ref="A57:F57"/>
    <mergeCell ref="A61:F61"/>
    <mergeCell ref="H49:V49"/>
    <mergeCell ref="H57:V57"/>
    <mergeCell ref="H61:V61"/>
    <mergeCell ref="A51:W51"/>
    <mergeCell ref="A59:W59"/>
    <mergeCell ref="A47:W47"/>
    <mergeCell ref="A26:F26"/>
    <mergeCell ref="A30:F30"/>
    <mergeCell ref="A35:F35"/>
    <mergeCell ref="H26:V26"/>
    <mergeCell ref="A28:W28"/>
    <mergeCell ref="H30:V30"/>
    <mergeCell ref="A32:W32"/>
    <mergeCell ref="H35:V35"/>
    <mergeCell ref="A41:F41"/>
    <mergeCell ref="A45:F45"/>
    <mergeCell ref="A37:W37"/>
    <mergeCell ref="H41:V41"/>
    <mergeCell ref="A43:W43"/>
    <mergeCell ref="H45:V45"/>
    <mergeCell ref="A21:W21"/>
    <mergeCell ref="H4:M4"/>
    <mergeCell ref="C3:C5"/>
    <mergeCell ref="A1:W1"/>
    <mergeCell ref="A2:W2"/>
    <mergeCell ref="A3:A5"/>
    <mergeCell ref="B3:B5"/>
    <mergeCell ref="D3:D5"/>
    <mergeCell ref="E3:E5"/>
    <mergeCell ref="F3:G4"/>
    <mergeCell ref="Q3:U4"/>
    <mergeCell ref="V3:W4"/>
    <mergeCell ref="A11:F11"/>
    <mergeCell ref="A19:F19"/>
    <mergeCell ref="A6:W6"/>
    <mergeCell ref="H3:P3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Resumo</vt:lpstr>
      <vt:lpstr>Mapa de Precificação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Pereira Sousa Neto</dc:creator>
  <cp:lastModifiedBy>Leonardo Bruno Carvalho Avelino</cp:lastModifiedBy>
  <dcterms:created xsi:type="dcterms:W3CDTF">2015-06-05T18:19:34Z</dcterms:created>
  <dcterms:modified xsi:type="dcterms:W3CDTF">2025-05-14T18:31:14Z</dcterms:modified>
</cp:coreProperties>
</file>